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Repositories\Financial Models\GEN\"/>
    </mc:Choice>
  </mc:AlternateContent>
  <xr:revisionPtr revIDLastSave="0" documentId="13_ncr:1_{CB7367F4-5771-471A-BAE5-69F8C7E6F0B5}" xr6:coauthVersionLast="47" xr6:coauthVersionMax="47" xr10:uidLastSave="{00000000-0000-0000-0000-000000000000}"/>
  <bookViews>
    <workbookView xWindow="1920" yWindow="1830" windowWidth="32860" windowHeight="17970" xr2:uid="{00000000-000D-0000-FFFF-FFFF00000000}"/>
  </bookViews>
  <sheets>
    <sheet name="SQRNavigation" sheetId="47" r:id="rId1"/>
    <sheet name="SQRInputBindings" sheetId="48" r:id="rId2"/>
    <sheet name="SQRChartBindings" sheetId="49" r:id="rId3"/>
    <sheet name="SQRAnnual" sheetId="50" r:id="rId4"/>
    <sheet name="SQRMonthly" sheetId="51" r:id="rId5"/>
    <sheet name="Cover" sheetId="1" r:id="rId6"/>
    <sheet name="Contents" sheetId="2" r:id="rId7"/>
    <sheet name="InpC" sheetId="3" r:id="rId8"/>
    <sheet name="InpS" sheetId="4" r:id="rId9"/>
    <sheet name="InpT" sheetId="5" state="hidden" r:id="rId10"/>
    <sheet name="Time" sheetId="6" r:id="rId11"/>
    <sheet name="Unallocated" sheetId="7" state="hidden" r:id="rId12"/>
    <sheet name="Metrics" sheetId="8" r:id="rId13"/>
    <sheet name="Financials" sheetId="9" r:id="rId14"/>
    <sheet name="Customers" sheetId="10" r:id="rId15"/>
    <sheet name="Income" sheetId="11" r:id="rId16"/>
    <sheet name="Inventory" sheetId="12" r:id="rId17"/>
    <sheet name="Assets" sheetId="13" r:id="rId18"/>
    <sheet name="Expense" sheetId="14" r:id="rId19"/>
    <sheet name="Working Capital" sheetId="15" r:id="rId20"/>
    <sheet name="Invoice finance" sheetId="16" r:id="rId21"/>
    <sheet name="Supply Chain finance" sheetId="17" r:id="rId22"/>
    <sheet name="Asset Finance" sheetId="18" r:id="rId23"/>
    <sheet name="VAT" sheetId="19" r:id="rId24"/>
    <sheet name="Corporation tax" sheetId="20" r:id="rId25"/>
    <sheet name="Equity" sheetId="21" r:id="rId26"/>
    <sheet name="Model Checks and Alerts" sheetId="22" r:id="rId27"/>
    <sheet name="Income Statement Ann" sheetId="23" r:id="rId28"/>
    <sheet name="Balance Sheet Ann" sheetId="24" r:id="rId29"/>
    <sheet name="Cashflow Ann" sheetId="25" r:id="rId30"/>
    <sheet name="Inventory Report Ann" sheetId="26" r:id="rId31"/>
    <sheet name="Metrics Report Ann" sheetId="27" r:id="rId32"/>
    <sheet name="Income Statement" sheetId="28" r:id="rId33"/>
    <sheet name="Income Statement Qly" sheetId="29" r:id="rId34"/>
    <sheet name="Income Statement SemiAnnually" sheetId="30" r:id="rId35"/>
    <sheet name="Balance Sheet" sheetId="31" r:id="rId36"/>
    <sheet name="Balance Sheet Qly" sheetId="32" r:id="rId37"/>
    <sheet name="Balance Sheet SemiAnnually" sheetId="33" r:id="rId38"/>
    <sheet name="Cashflow" sheetId="34" r:id="rId39"/>
    <sheet name="Cashflow Qly" sheetId="35" r:id="rId40"/>
    <sheet name="Cashflow SemiAnnually" sheetId="36" r:id="rId41"/>
    <sheet name="Inventory Report" sheetId="37" r:id="rId42"/>
    <sheet name="Inventory Report Qly" sheetId="38" r:id="rId43"/>
    <sheet name="Inventory Report SemiAnnually" sheetId="39" r:id="rId44"/>
    <sheet name="Metrics Report" sheetId="40" r:id="rId45"/>
    <sheet name="Metrics Report Qly" sheetId="41" r:id="rId46"/>
    <sheet name="Metrics Report SemiAnnually" sheetId="42" r:id="rId47"/>
    <sheet name="Results Table" sheetId="43" r:id="rId48"/>
    <sheet name="Output" sheetId="44" r:id="rId49"/>
    <sheet name="Issues" sheetId="45" r:id="rId50"/>
    <sheet name="Styles" sheetId="46" r:id="rId51"/>
  </sheets>
  <definedNames>
    <definedName name="Active_scenario" xml:space="preserve"> InpC!$F$12</definedName>
    <definedName name="All_in_Invoice_Finance_annual_interest_rate" xml:space="preserve"> InpC!$F$64</definedName>
    <definedName name="All_in_Supply_Chain_Finance_annual_interest_rate" xml:space="preserve"> InpC!$F$71</definedName>
    <definedName name="All_in_Trade_finance_annual_interest_rate" xml:space="preserve"> InpC!$F$77</definedName>
    <definedName name="Asset_Finance_Advance__" xml:space="preserve"> InpC!$F$79</definedName>
    <definedName name="Asset_Finance_balance">'Asset Finance'!$J$15:$BQ$15</definedName>
    <definedName name="Asset_Finance_balance.BEG">'Asset Finance'!$J$11:$BQ$11</definedName>
    <definedName name="Asset_Finance_drawdown">'Asset Finance'!$J$22:$BQ$22</definedName>
    <definedName name="Asset_Finance_Enabled_beginning_date" xml:space="preserve"> InpC!$F$76</definedName>
    <definedName name="Asset_Finance_Enabled_end_date" xml:space="preserve"> InpC!$F$75</definedName>
    <definedName name="Asset_Finance_interest">'Asset Finance'!$J$41:$BQ$41</definedName>
    <definedName name="Asset_Finance_interest.NEG">'Asset Finance'!$J$42:$BQ$42</definedName>
    <definedName name="Asset_Finance_interest_paid">'Asset Finance'!$J$47:$BQ$47</definedName>
    <definedName name="Asset_Finance_interest_paid.NEG">'Asset Finance'!$J$48:$BQ$48</definedName>
    <definedName name="Asset_Finance_Period" xml:space="preserve"> InpC!$F$78</definedName>
    <definedName name="Asset_Finance_principal_repayment">'Asset Finance'!$J$28:$BQ$28</definedName>
    <definedName name="Asset_Finance_principal_repayment.NEG">'Asset Finance'!$J$29:$BQ$29</definedName>
    <definedName name="Assets">'Balance Sheet'!$J$12:$BQ$12</definedName>
    <definedName name="CASE_ACTIVE">InpC!$F$4</definedName>
    <definedName name="CASE_COMPARISON">InpC!$F$5</definedName>
    <definedName name="Cash">Financials!$J$13:$BQ$13</definedName>
    <definedName name="Cash.BEG">Financials!$J$11:$BQ$11</definedName>
    <definedName name="Cash_in_from_Sales">'Working Capital'!$J$22:$BQ$22</definedName>
    <definedName name="Cash_Low" xml:space="preserve"> Metrics!$F$10</definedName>
    <definedName name="Cash_out_on_Inventory">'Working Capital'!$J$14:$BQ$14</definedName>
    <definedName name="Cash_out_on_Inventory.NEG">'Working Capital'!$J$15:$BQ$15</definedName>
    <definedName name="Cash_out_on_Operating_Expense">'Working Capital'!$J$51:$BQ$51</definedName>
    <definedName name="Cash_out_on_Operating_Expense.NEG">'Working Capital'!$J$52:$BQ$52</definedName>
    <definedName name="CF_after_capex">Cashflow!$J$15:$BQ$15</definedName>
    <definedName name="CF_after_financing">Cashflow!$J$26:$BQ$26</definedName>
    <definedName name="Constants">InpS!$F$1</definedName>
    <definedName name="Contract_Length" xml:space="preserve"> InpC!$F$22</definedName>
    <definedName name="Contract_year">InpS!$J$21:$BQ$21</definedName>
    <definedName name="Corporation_tax">'Corporation tax'!$J$47:$BQ$47</definedName>
    <definedName name="Corporation_tax.NEG">'Corporation tax'!$J$48:$BQ$48</definedName>
    <definedName name="Corporation_tax_creditor">'Corporation tax'!$J$78:$BQ$78</definedName>
    <definedName name="Corporation_tax_creditor.BEG">'Corporation tax'!$J$75:$BQ$75</definedName>
    <definedName name="Corporation_tax_paid">'Corporation tax'!$J$68:$BQ$68</definedName>
    <definedName name="Corporation_tax_paid.NEG">'Corporation tax'!$J$69:$BQ$69</definedName>
    <definedName name="Corporation_tax_rate" xml:space="preserve"> InpC!$F$90</definedName>
    <definedName name="Creditors">'Working Capital'!$J$36:$BQ$36</definedName>
    <definedName name="Creditors.BEG">'Working Capital'!$J$28:$BQ$28</definedName>
    <definedName name="Customer_base_order_number" xml:space="preserve"> InpC!$F$16</definedName>
    <definedName name="Customer_Order_Growth_annual_start_escalation_rate" xml:space="preserve"> InpC!$F$17</definedName>
    <definedName name="Customer_Order_Growth_escalation_frequency" xml:space="preserve"> InpC!$F$18</definedName>
    <definedName name="Customer_Orders_Awaiting_Fullfilment">Customers!$J$24:$BQ$24</definedName>
    <definedName name="Customer_Orders_Awaiting_Fullfilment.BEG">Customers!$J$20:$BQ$20</definedName>
    <definedName name="Customer_payment_terms__months_" xml:space="preserve"> InpC!$F$20</definedName>
    <definedName name="Customer_Retention" xml:space="preserve"> InpC!$F$15</definedName>
    <definedName name="Days_in_period" xml:space="preserve"> InpC!$F$57</definedName>
    <definedName name="debt_day_count_convention" xml:space="preserve"> InpC!$F$58</definedName>
    <definedName name="Debtors">'Working Capital'!$J$45:$BQ$45</definedName>
    <definedName name="Debtors.BEG">'Working Capital'!$J$41:$BQ$41</definedName>
    <definedName name="Deferred_Income">Income!$J$27:$BQ$27</definedName>
    <definedName name="Deferred_Income.BEG">Income!$J$24:$BQ$24</definedName>
    <definedName name="Deployed_units_returned">Inventory!$J$18:$BQ$18</definedName>
    <definedName name="Depreciation">Assets!$J$33:$BQ$33</definedName>
    <definedName name="Depreciation.BEG">Assets!$J$29:$BQ$29</definedName>
    <definedName name="Depreciation.NEG">Assets!$J$34:$BQ$34</definedName>
    <definedName name="Depreciation_Term" xml:space="preserve"> InpC!$F$40</definedName>
    <definedName name="Depreciation_this_period">Assets!$J$13:$BQ$13</definedName>
    <definedName name="Depreciation_this_period.NEG">Assets!$J$14:$BQ$14</definedName>
    <definedName name="EBIT">'Income Statement'!$J$14:$BQ$14</definedName>
    <definedName name="EBITDA">'Income Statement'!$J$11:$BQ$11</definedName>
    <definedName name="ExampleInputRow">InpC!$14:$14</definedName>
    <definedName name="Financial_year_end_month" xml:space="preserve"> InpC!$F$101</definedName>
    <definedName name="FirstDifferenceCell" localSheetId="7">InpC!$I$13</definedName>
    <definedName name="FirstRow" localSheetId="7">InpC!$A$14</definedName>
    <definedName name="FirstRow">InpS!$A$7</definedName>
    <definedName name="FirstTime">InpS!$J$1</definedName>
    <definedName name="Fixed_operating_cost_base" xml:space="preserve"> InpC!$F$26</definedName>
    <definedName name="Fixed_Operating_Cost_Growth_Rate_annual_start_escalation_rate" xml:space="preserve"> InpC!$F$27</definedName>
    <definedName name="Fixed_Operating_Cost_Growth_Rate_escalation_frequency" xml:space="preserve"> InpC!$F$28</definedName>
    <definedName name="Fixed_operating_expense">Expense!$J$19:$BQ$19</definedName>
    <definedName name="Fixed_operating_expense.NEG">Expense!$J$20:$BQ$20</definedName>
    <definedName name="Headings">InpS!$E$2:$E$5</definedName>
    <definedName name="Income">Income!$J$18:$BQ$18</definedName>
    <definedName name="InputChanges" localSheetId="7">InpC!$F$7</definedName>
    <definedName name="Inventory">Assets!$J$24:$BQ$24</definedName>
    <definedName name="Inventory.BEG">Assets!$J$20:$BQ$20</definedName>
    <definedName name="Invoice_Finance_Advance__" xml:space="preserve"> InpC!$F$63</definedName>
    <definedName name="Invoice_finance_balance">'Invoice finance'!$J$15:$BQ$15</definedName>
    <definedName name="Invoice_finance_balance.BEG">'Invoice finance'!$J$11:$BQ$11</definedName>
    <definedName name="Invoice_finance_drawdown">'Invoice finance'!$J$21:$BQ$21</definedName>
    <definedName name="Invoice_Finance_Enabled_beginning_date" xml:space="preserve"> InpC!$F$61</definedName>
    <definedName name="Invoice_Finance_Enabled_end_date" xml:space="preserve"> InpC!$F$62</definedName>
    <definedName name="Invoice_finance_interest">'Invoice finance'!$J$40:$BQ$40</definedName>
    <definedName name="Invoice_finance_interest.NEG">'Invoice finance'!$J$41:$BQ$41</definedName>
    <definedName name="Invoice_finance_interest_paid">'Invoice finance'!$J$46:$BQ$46</definedName>
    <definedName name="Invoice_finance_interest_paid.NEG">'Invoice finance'!$J$47:$BQ$47</definedName>
    <definedName name="Invoice_finance_principal_repayment">'Invoice finance'!$J$27:$BQ$27</definedName>
    <definedName name="Invoice_finance_principal_repayment.NEG">'Invoice finance'!$J$28:$BQ$28</definedName>
    <definedName name="Invoice_Term" xml:space="preserve"> InpC!$F$23</definedName>
    <definedName name="Label">InpS!$E$1</definedName>
    <definedName name="Liabilities">'Balance Sheet'!$J$21:$BQ$21</definedName>
    <definedName name="MasterALERT" localSheetId="22">'Asset Finance'!$F$3</definedName>
    <definedName name="MasterALERT" localSheetId="17">Assets!$F$3</definedName>
    <definedName name="MasterALERT" localSheetId="35">'Balance Sheet'!$F$3</definedName>
    <definedName name="MasterALERT" localSheetId="28">'Balance Sheet Ann'!$F$3</definedName>
    <definedName name="MasterALERT" localSheetId="36">'Balance Sheet Qly'!$F$3</definedName>
    <definedName name="MasterALERT" localSheetId="37">'Balance Sheet SemiAnnually'!$F$3</definedName>
    <definedName name="MasterALERT" localSheetId="38">Cashflow!$F$3</definedName>
    <definedName name="MasterALERT" localSheetId="29">'Cashflow Ann'!$F$3</definedName>
    <definedName name="MasterALERT" localSheetId="39">'Cashflow Qly'!$F$3</definedName>
    <definedName name="MasterALERT" localSheetId="40">'Cashflow SemiAnnually'!$F$3</definedName>
    <definedName name="MasterALERT" localSheetId="24">'Corporation tax'!$F$3</definedName>
    <definedName name="MasterALERT" localSheetId="14">Customers!$F$3</definedName>
    <definedName name="MasterALERT" localSheetId="25">Equity!$F$3</definedName>
    <definedName name="MasterALERT" localSheetId="18">Expense!$F$3</definedName>
    <definedName name="MasterALERT" localSheetId="13">Financials!$F$3</definedName>
    <definedName name="MasterALERT" localSheetId="15">Income!$F$3</definedName>
    <definedName name="MasterALERT" localSheetId="32">'Income Statement'!$F$3</definedName>
    <definedName name="MasterALERT" localSheetId="27">'Income Statement Ann'!$F$3</definedName>
    <definedName name="MasterALERT" localSheetId="33">'Income Statement Qly'!$F$3</definedName>
    <definedName name="MasterALERT" localSheetId="34">'Income Statement SemiAnnually'!$F$3</definedName>
    <definedName name="MasterALERT" localSheetId="8">InpS!$F$3</definedName>
    <definedName name="MasterALERT" localSheetId="9">InpT!$F$3</definedName>
    <definedName name="MasterALERT" localSheetId="16">Inventory!$F$3</definedName>
    <definedName name="MasterALERT" localSheetId="41">'Inventory Report'!$F$3</definedName>
    <definedName name="MasterALERT" localSheetId="30">'Inventory Report Ann'!$F$3</definedName>
    <definedName name="MasterALERT" localSheetId="42">'Inventory Report Qly'!$F$3</definedName>
    <definedName name="MasterALERT" localSheetId="43">'Inventory Report SemiAnnually'!$F$3</definedName>
    <definedName name="MasterALERT" localSheetId="20">'Invoice finance'!$F$3</definedName>
    <definedName name="MasterALERT" localSheetId="12">Metrics!$F$3</definedName>
    <definedName name="MasterALERT" localSheetId="44">'Metrics Report'!$F$3</definedName>
    <definedName name="MasterALERT" localSheetId="31">'Metrics Report Ann'!$F$3</definedName>
    <definedName name="MasterALERT" localSheetId="45">'Metrics Report Qly'!$F$3</definedName>
    <definedName name="MasterALERT" localSheetId="46">'Metrics Report SemiAnnually'!$F$3</definedName>
    <definedName name="MasterALERT" localSheetId="26">'Model Checks and Alerts'!$F$3</definedName>
    <definedName name="MasterALERT" localSheetId="47">'Results Table'!$F$3</definedName>
    <definedName name="MasterALERT" localSheetId="21">'Supply Chain finance'!$F$3</definedName>
    <definedName name="MasterALERT" localSheetId="10">Time!$F$3</definedName>
    <definedName name="MasterALERT" localSheetId="11">Unallocated!$F$3</definedName>
    <definedName name="MasterALERT" localSheetId="23">VAT!$F$3</definedName>
    <definedName name="MasterALERT" localSheetId="19">'Working Capital'!$F$3</definedName>
    <definedName name="MasterCHK" localSheetId="22">'Asset Finance'!$F$2</definedName>
    <definedName name="MasterCHK" localSheetId="17">Assets!$F$2</definedName>
    <definedName name="MasterCHK" localSheetId="35">'Balance Sheet'!$F$2</definedName>
    <definedName name="MasterCHK" localSheetId="28">'Balance Sheet Ann'!$F$2</definedName>
    <definedName name="MasterCHK" localSheetId="36">'Balance Sheet Qly'!$F$2</definedName>
    <definedName name="MasterCHK" localSheetId="37">'Balance Sheet SemiAnnually'!$F$2</definedName>
    <definedName name="MasterCHK" localSheetId="38">Cashflow!$F$2</definedName>
    <definedName name="MasterCHK" localSheetId="29">'Cashflow Ann'!$F$2</definedName>
    <definedName name="MasterCHK" localSheetId="39">'Cashflow Qly'!$F$2</definedName>
    <definedName name="MasterCHK" localSheetId="40">'Cashflow SemiAnnually'!$F$2</definedName>
    <definedName name="MasterCHK" localSheetId="24">'Corporation tax'!$F$2</definedName>
    <definedName name="MasterCHK" localSheetId="14">Customers!$F$2</definedName>
    <definedName name="MasterCHK" localSheetId="25">Equity!$F$2</definedName>
    <definedName name="MasterCHK" localSheetId="18">Expense!$F$2</definedName>
    <definedName name="MasterCHK" localSheetId="13">Financials!$F$2</definedName>
    <definedName name="MasterCHK" localSheetId="15">Income!$F$2</definedName>
    <definedName name="MasterCHK" localSheetId="32">'Income Statement'!$F$2</definedName>
    <definedName name="MasterCHK" localSheetId="27">'Income Statement Ann'!$F$2</definedName>
    <definedName name="MasterCHK" localSheetId="33">'Income Statement Qly'!$F$2</definedName>
    <definedName name="MasterCHK" localSheetId="34">'Income Statement SemiAnnually'!$F$2</definedName>
    <definedName name="MasterCHK" localSheetId="8">InpS!$F$2</definedName>
    <definedName name="MasterCHK" localSheetId="9">InpT!$F$2</definedName>
    <definedName name="MasterCHK" localSheetId="16">Inventory!$F$2</definedName>
    <definedName name="MasterCHK" localSheetId="41">'Inventory Report'!$F$2</definedName>
    <definedName name="MasterCHK" localSheetId="30">'Inventory Report Ann'!$F$2</definedName>
    <definedName name="MasterCHK" localSheetId="42">'Inventory Report Qly'!$F$2</definedName>
    <definedName name="MasterCHK" localSheetId="43">'Inventory Report SemiAnnually'!$F$2</definedName>
    <definedName name="MasterCHK" localSheetId="20">'Invoice finance'!$F$2</definedName>
    <definedName name="MasterCHK" localSheetId="12">Metrics!$F$2</definedName>
    <definedName name="MasterCHK" localSheetId="44">'Metrics Report'!$F$2</definedName>
    <definedName name="MasterCHK" localSheetId="31">'Metrics Report Ann'!$F$2</definedName>
    <definedName name="MasterCHK" localSheetId="45">'Metrics Report Qly'!$F$2</definedName>
    <definedName name="MasterCHK" localSheetId="46">'Metrics Report SemiAnnually'!$F$2</definedName>
    <definedName name="MasterCHK" localSheetId="26">'Model Checks and Alerts'!$F$2</definedName>
    <definedName name="MasterCHK" localSheetId="47">'Results Table'!$F$2</definedName>
    <definedName name="MasterCHK" localSheetId="21">'Supply Chain finance'!$F$2</definedName>
    <definedName name="MasterCHK" localSheetId="10">Time!$F$2</definedName>
    <definedName name="MasterCHK" localSheetId="11">Unallocated!$F$2</definedName>
    <definedName name="MasterCHK" localSheetId="23">VAT!$F$2</definedName>
    <definedName name="MasterCHK" localSheetId="19">'Working Capital'!$F$2</definedName>
    <definedName name="Minimum_quantity_before_reorder" xml:space="preserve"> InpC!$F$32</definedName>
    <definedName name="Minimum_supplier_order_quantity" xml:space="preserve"> InpC!$F$36</definedName>
    <definedName name="Model_period_end">Time!$J$19:$BQ$19</definedName>
    <definedName name="Model_period_end__Month_to_Quarter___period_end_flag">Time!$J$75:$BQ$75</definedName>
    <definedName name="Model_period_end__Month_to_SemiAnnual___period_end_flag">Time!$J$95:$BQ$95</definedName>
    <definedName name="Model_period_end__Month_to_Year___period_end_flag">Time!$J$35:$BQ$35</definedName>
    <definedName name="Model_period_end__Month_to_Year__financial_year____period_end_flag">Time!$J$55:$BQ$55</definedName>
    <definedName name="Model_period_start">Time!$J$12:$BQ$12</definedName>
    <definedName name="Month_corporation_tax_paid" xml:space="preserve"> InpC!$F$92</definedName>
    <definedName name="Months_in_year" xml:space="preserve"> InpC!$F$99</definedName>
    <definedName name="Months_per_period" xml:space="preserve"> InpC!$F$100</definedName>
    <definedName name="Net_Assets">Financials!$J$24:$BQ$24</definedName>
    <definedName name="Net_Cashflow">Cashflow!$J$29:$BQ$29</definedName>
    <definedName name="New_customer_orders">Customers!$J$14:$BQ$14</definedName>
    <definedName name="New_share_capital_issued">InpS!$J$11:$BQ$11</definedName>
    <definedName name="obxIssuesLog">Issues!$A$5</definedName>
    <definedName name="obxUserGreen_15" localSheetId="7" hidden="1">"'InpC'!$A$15"</definedName>
    <definedName name="obxUserGreen_16" localSheetId="7" hidden="1">"'InpC'!$A$16"</definedName>
    <definedName name="obxUserGreen_17" localSheetId="7" hidden="1">"'InpC'!$A$17"</definedName>
    <definedName name="obxUserGreen_18" localSheetId="7" hidden="1">"'InpC'!$A$18"</definedName>
    <definedName name="obxUserGreen_19" localSheetId="7" hidden="1">"'InpC'!$A$19"</definedName>
    <definedName name="obxUserGreen_20" localSheetId="7" hidden="1">"'InpC'!$A$20"</definedName>
    <definedName name="obxUserGreen_21" localSheetId="7" hidden="1">"'InpC'!$A$21"</definedName>
    <definedName name="obxUserGreen_22" localSheetId="7" hidden="1">"'InpC'!$A$22"</definedName>
    <definedName name="obxUserGreen_23" localSheetId="7" hidden="1">"'InpC'!$A$23"</definedName>
    <definedName name="obxUserGreen_24" localSheetId="7" hidden="1">"'InpC'!$A$24"</definedName>
    <definedName name="obxUserGreen_25" localSheetId="7" hidden="1">"'InpC'!$A$25"</definedName>
    <definedName name="obxUserGreen_26" localSheetId="7" hidden="1">"'InpC'!$A$26"</definedName>
    <definedName name="obxUserGreen_27" localSheetId="7" hidden="1">"'InpC'!$A$27"</definedName>
    <definedName name="obxUserGreen_28" localSheetId="7" hidden="1">"'InpC'!$A$28"</definedName>
    <definedName name="obxUserGreen_29" localSheetId="7" hidden="1">"'InpC'!$A$29"</definedName>
    <definedName name="obxUserGreen_30" localSheetId="7" hidden="1">"'InpC'!$A$30"</definedName>
    <definedName name="obxUserGreen_31" localSheetId="7" hidden="1">"'InpC'!$A$31"</definedName>
    <definedName name="obxUserGreen_32" localSheetId="7" hidden="1">"'InpC'!$A$32"</definedName>
    <definedName name="obxUserGreen_33" localSheetId="7" hidden="1">"'InpC'!$A$33"</definedName>
    <definedName name="obxUserGreen_34" localSheetId="7" hidden="1">"'InpC'!$A$34"</definedName>
    <definedName name="obxUserGreen_35" localSheetId="7" hidden="1">"'InpC'!$A$35"</definedName>
    <definedName name="obxUserGreen_36" localSheetId="7" hidden="1">"'InpC'!$A$36"</definedName>
    <definedName name="obxUserGreen_37" localSheetId="7" hidden="1">"'InpC'!$A$37"</definedName>
    <definedName name="obxUserGreen_38" localSheetId="7" hidden="1">"'InpC'!$A$38"</definedName>
    <definedName name="obxUserGreen_39" localSheetId="7" hidden="1">"'InpC'!$A$39"</definedName>
    <definedName name="obxUserGreen_40" localSheetId="7" hidden="1">"'InpC'!$A$40"</definedName>
    <definedName name="obxUserGreen_41" localSheetId="7" hidden="1">"'InpC'!$A$41"</definedName>
    <definedName name="obxUserGreen_42" localSheetId="7" hidden="1">"'InpC'!$A$42"</definedName>
    <definedName name="obxUserGreen_43" localSheetId="7" hidden="1">"'InpC'!$A$43"</definedName>
    <definedName name="obxUserGreen_44" localSheetId="7" hidden="1">"'InpC'!$A$44"</definedName>
    <definedName name="obxUserGreen_45" localSheetId="7" hidden="1">"'InpC'!$A$45"</definedName>
    <definedName name="obxUserGreen_46" localSheetId="7" hidden="1">"'InpC'!$A$46"</definedName>
    <definedName name="obxUserGreen_47" localSheetId="7" hidden="1">"'InpC'!$A$47"</definedName>
    <definedName name="obxUserGreen_48" localSheetId="7" hidden="1">"'InpC'!$A$48"</definedName>
    <definedName name="obxUserGreen_49" localSheetId="7" hidden="1">"'InpC'!$A$49"</definedName>
    <definedName name="obxUserGreen_50" localSheetId="7" hidden="1">"'InpC'!$A$50"</definedName>
    <definedName name="obxUserGreen_51" localSheetId="7" hidden="1">"'InpC'!$A$51"</definedName>
    <definedName name="obxUserGreen_52" localSheetId="7" hidden="1">"'InpC'!$A$52"</definedName>
    <definedName name="obxUserGreen_53" localSheetId="7" hidden="1">"'InpC'!$A$53"</definedName>
    <definedName name="obxUserGreen_54" localSheetId="7" hidden="1">"'InpC'!$A$54"</definedName>
    <definedName name="obxUserGreen_55" localSheetId="7" hidden="1">"'InpC'!$A$55"</definedName>
    <definedName name="obxUserGreen_56" localSheetId="7" hidden="1">"'InpC'!$A$56"</definedName>
    <definedName name="obxUserGreen_57" localSheetId="7" hidden="1">"'InpC'!$A$57"</definedName>
    <definedName name="obxUserGreen_58" localSheetId="7" hidden="1">"'InpC'!$A$58"</definedName>
    <definedName name="obxUserGreen_59" localSheetId="7" hidden="1">"'InpC'!$A$59"</definedName>
    <definedName name="obxUserGreen_60" localSheetId="7" hidden="1">"'InpC'!$A$60"</definedName>
    <definedName name="obxUserGreen_61" localSheetId="7" hidden="1">"'InpC'!$A$61"</definedName>
    <definedName name="obxUserGreen_62" localSheetId="7" hidden="1">"'InpC'!$A$62"</definedName>
    <definedName name="obxUserGreen_63" localSheetId="7" hidden="1">"'InpC'!$A$63"</definedName>
    <definedName name="obxUserGreen_64" localSheetId="7" hidden="1">"'InpC'!$A$64"</definedName>
    <definedName name="obxUserGreen_65" localSheetId="7" hidden="1">"'InpC'!$A$65"</definedName>
    <definedName name="obxUserGreen_66" localSheetId="7" hidden="1">"'InpC'!$A$66"</definedName>
    <definedName name="obxUserGreen_67" localSheetId="7" hidden="1">"'InpC'!$A$67"</definedName>
    <definedName name="obxUserGreen_68" localSheetId="7" hidden="1">"'InpC'!$A$68"</definedName>
    <definedName name="obxUserGreen_69" localSheetId="7" hidden="1">"'InpC'!$A$69"</definedName>
    <definedName name="obxUserGreen_70" localSheetId="7" hidden="1">"'InpC'!$A$70"</definedName>
    <definedName name="obxUserGreen_71" localSheetId="7" hidden="1">"'InpC'!$A$71"</definedName>
    <definedName name="obxUserGreen_72" localSheetId="7" hidden="1">"'InpC'!$A$72"</definedName>
    <definedName name="obxUserGreen_73" localSheetId="7" hidden="1">"'InpC'!$A$73"</definedName>
    <definedName name="obxUserGreen_74" localSheetId="7" hidden="1">"'InpC'!$A$74"</definedName>
    <definedName name="obxUserGreen_75" localSheetId="7" hidden="1">"'InpC'!$A$75"</definedName>
    <definedName name="obxUserGreen_76" localSheetId="7" hidden="1">"'InpC'!$A$76"</definedName>
    <definedName name="obxUserGreen_77" localSheetId="7" hidden="1">"'InpC'!$A$77"</definedName>
    <definedName name="obxUserGreen_78" localSheetId="7" hidden="1">"'InpC'!$A$78"</definedName>
    <definedName name="obxUserGreen_79" localSheetId="7" hidden="1">"'InpC'!$A$79"</definedName>
    <definedName name="obxUserGreen_80" localSheetId="7" hidden="1">"'InpC'!$A$80"</definedName>
    <definedName name="Opening_Asset_Finance_balance" xml:space="preserve"> InpC!$F$80</definedName>
    <definedName name="Opening_Cash" xml:space="preserve"> InpC!$F$49</definedName>
    <definedName name="Opening_Corporation_tax_creditor" xml:space="preserve"> InpC!$F$93</definedName>
    <definedName name="Opening_Creditors" xml:space="preserve"> InpC!$F$53</definedName>
    <definedName name="Opening_Customer_Orders_Awaiting_Fullfilment" xml:space="preserve"> InpC!$F$19</definedName>
    <definedName name="Opening_Debtors" xml:space="preserve"> InpC!$F$52</definedName>
    <definedName name="Opening_Deferred_Income" xml:space="preserve"> InpC!$F$50</definedName>
    <definedName name="Opening_Depreciation" xml:space="preserve"> InpC!$F$47</definedName>
    <definedName name="Opening_Inventory" xml:space="preserve"> InpC!$F$51</definedName>
    <definedName name="Opening_Invoice_finance_balance" xml:space="preserve"> InpC!$F$65</definedName>
    <definedName name="Opening_Retained_Earnings" xml:space="preserve"> InpC!$F$54</definedName>
    <definedName name="Opening_Share_Capital" xml:space="preserve"> InpC!$F$48</definedName>
    <definedName name="Opening_Supply_Chain_Finance_balance" xml:space="preserve"> InpC!$F$70</definedName>
    <definedName name="Opening_Total_Units_retired" xml:space="preserve"> InpC!$F$39</definedName>
    <definedName name="Opening_Units_in_stock" xml:space="preserve"> InpC!$F$42</definedName>
    <definedName name="Opening_Units_in_use" xml:space="preserve"> InpC!$F$43</definedName>
    <definedName name="Opening_Units_on_order" xml:space="preserve"> InpC!$F$41</definedName>
    <definedName name="Opening_VAT_balance" xml:space="preserve"> InpC!$F$46</definedName>
    <definedName name="Operating_Cashflow">Cashflow!$J$12:$BQ$12</definedName>
    <definedName name="Order_lead_time__months_" xml:space="preserve"> InpC!$F$34</definedName>
    <definedName name="Percentage_of_expense_subject_to_VAT" xml:space="preserve"> InpC!$F$85</definedName>
    <definedName name="Period_number">Time!$J$28:$BQ$28</definedName>
    <definedName name="Period_number__Month_to_Quarter___period_end_flag">Time!$J$88:$BQ$88</definedName>
    <definedName name="Period_number__Month_to_SemiAnnual___period_end_flag">Time!$J$108:$BQ$108</definedName>
    <definedName name="Period_number__Month_to_Year___period_end_flag">Time!$J$48:$BQ$48</definedName>
    <definedName name="Period_number__Month_to_Year__financial_year____period_end_flag">Time!$J$68:$BQ$68</definedName>
    <definedName name="Profit_before_tax">'Income Statement'!$J$19:$BQ$19</definedName>
    <definedName name="Renewing_Customer_Orders">Customers!$J$35:$BQ$35</definedName>
    <definedName name="ReportBarFormat">Contents!$A$5</definedName>
    <definedName name="Retained_Earnings">Financials!$J$38:$BQ$38</definedName>
    <definedName name="Retained_Earnings.BEG">Financials!$J$36:$BQ$36</definedName>
    <definedName name="Retained_Earnings_this_period">'Income Statement'!$J$22:$BQ$22</definedName>
    <definedName name="Sales_Price_Unit" xml:space="preserve"> InpC!$F$21</definedName>
    <definedName name="scenario">InpC!$I$4</definedName>
    <definedName name="ScenarioPointer">InpC!$K$2</definedName>
    <definedName name="SensitivityInputs">InpC!$O$13:$R$13</definedName>
    <definedName name="Share_Capital">Equity!$J$13:$BQ$13</definedName>
    <definedName name="Share_Capital.BEG">Equity!$J$11:$BQ$11</definedName>
    <definedName name="Shareholder_Equity">Financials!$J$30:$BQ$30</definedName>
    <definedName name="Start_date" xml:space="preserve"> InpC!$F$102</definedName>
    <definedName name="STF_New_Customer_orders">InpS!$J$16:$BQ$16</definedName>
    <definedName name="STF_Units_delivered">InpS!$J$14:$BQ$14</definedName>
    <definedName name="STF_Units_ordered">InpS!$J$15:$BQ$15</definedName>
    <definedName name="Supplier_order_deposit" xml:space="preserve"> InpC!$F$33</definedName>
    <definedName name="Supplier_price_per_unit" xml:space="preserve"> InpC!$F$35</definedName>
    <definedName name="Supply_Chain_Finance_Advance__" xml:space="preserve"> InpC!$F$72</definedName>
    <definedName name="Supply_Chain_Finance_balance">'Supply Chain finance'!$J$15:$BQ$15</definedName>
    <definedName name="Supply_Chain_Finance_balance.BEG">'Supply Chain finance'!$J$11:$BQ$11</definedName>
    <definedName name="Supply_Chain_Finance_drawdown">'Supply Chain finance'!$J$22:$BQ$22</definedName>
    <definedName name="Supply_Chain_Finance_enabled_beginning_date" xml:space="preserve"> InpC!$F$69</definedName>
    <definedName name="Supply_Chain_Finance_enabled_end_date" xml:space="preserve"> InpC!$F$68</definedName>
    <definedName name="Supply_Chain_Finance_interest">'Supply Chain finance'!$J$41:$BQ$41</definedName>
    <definedName name="Supply_Chain_Finance_interest.NEG">'Supply Chain finance'!$J$42:$BQ$42</definedName>
    <definedName name="Supply_Chain_Finance_interest_paid">'Supply Chain finance'!$J$47:$BQ$47</definedName>
    <definedName name="Supply_Chain_Finance_interest_paid.NEG">'Supply Chain finance'!$J$48:$BQ$48</definedName>
    <definedName name="Supply_Chain_Finance_principal_repayment">'Supply Chain finance'!$J$28:$BQ$28</definedName>
    <definedName name="Supply_Chain_Finance_principal_repayment.NEG">'Supply Chain finance'!$J$29:$BQ$29</definedName>
    <definedName name="Tax_losses_carried_forward___initial_balance" xml:space="preserve"> InpC!$F$91</definedName>
    <definedName name="TimeRow">InpS!$A$2</definedName>
    <definedName name="TOCFirstLine">Contents!$A$6</definedName>
    <definedName name="TOCobxAsset_Finance">'Asset Finance'!$A$1</definedName>
    <definedName name="TOCobxAssets">Assets!$A$1</definedName>
    <definedName name="TOCobxCorporation_tax">'Corporation tax'!$A$1</definedName>
    <definedName name="TOCobxCorporation_tax.Corporation_tax_creditor">'Corporation tax'!$A$65</definedName>
    <definedName name="TOCobxCorporation_tax.Tax_losses">'Corporation tax'!$A$19</definedName>
    <definedName name="TOCobxCustomers">Customers!$A$1</definedName>
    <definedName name="TOCobxEquity">Equity!$A$1</definedName>
    <definedName name="TOCobxExpense">Expense!$A$1</definedName>
    <definedName name="TOCobxFinancials">Financials!$A$1</definedName>
    <definedName name="TOCobxIncome">Income!$A$1</definedName>
    <definedName name="TOCobxInputs">InpS!$A$1</definedName>
    <definedName name="TOCobxInputs.Corporation_Tax">InpC!$A$89</definedName>
    <definedName name="TOCobxInputs.Customer_Orders">InpC!$A$14</definedName>
    <definedName name="TOCobxInputs.Debt">InpC!$A$56</definedName>
    <definedName name="TOCobxInputs.Debt.Asset_Finance">InpC!$B$74</definedName>
    <definedName name="TOCobxInputs.Debt.Invoice_Finance">InpC!$B$60</definedName>
    <definedName name="TOCobxInputs.Debt.Supply_Chain_Finance">InpC!$B$67</definedName>
    <definedName name="TOCobxInputs.Equity">InpS!$A$10</definedName>
    <definedName name="TOCobxInputs.Expense">InpC!$A$25</definedName>
    <definedName name="TOCobxInputs.Inventory">InpC!$A$38</definedName>
    <definedName name="TOCobxInputs.Model_Constants">InpC!$A$98</definedName>
    <definedName name="TOCobxInputs.Opening_Balances">InpC!$A$45</definedName>
    <definedName name="TOCobxInputs.Short_term_forecast">InpS!$A$13</definedName>
    <definedName name="TOCobxInputs.Supplier_orders">InpC!$A$31</definedName>
    <definedName name="TOCobxInputs.VAT">InpC!$A$82</definedName>
    <definedName name="TOCobxInventory">Inventory!$A$1</definedName>
    <definedName name="TOCobxInvoice_finance">'Invoice finance'!$A$1</definedName>
    <definedName name="TOCobxMetrics">Metrics!$A$1</definedName>
    <definedName name="TOCobxModel_Checks_and_Alerts">'Model Checks and Alerts'!$A$1</definedName>
    <definedName name="TOCobxModel_Checks_and_Alerts.Model_Checks">'Model Checks and Alerts'!$A$9</definedName>
    <definedName name="TOCobxSupply_Chain_finance">'Supply Chain finance'!$A$1</definedName>
    <definedName name="TOCobxTime">Time!$A$1</definedName>
    <definedName name="TOCobxTime.Customer_Order_Growth_index">Time!$A$112</definedName>
    <definedName name="TOCobxTime.Debts_flags">Time!$A$230</definedName>
    <definedName name="TOCobxTime.Fixed_Operating_Cost_Growth_Rate_index">Time!$A$174</definedName>
    <definedName name="TOCobxTime.Headers">Time!$A$16</definedName>
    <definedName name="TOCobxTime.Model_timelines">Time!$A$295</definedName>
    <definedName name="TOCobxTime.Use_short_term_forecast_flag">Time!$A$288</definedName>
    <definedName name="TOCobxTime.VAT_return_this_period_flag">Time!$A$255</definedName>
    <definedName name="TOCobxUnallocated">Unallocated!$A$1</definedName>
    <definedName name="TOCobxVAT">VAT!$A$1</definedName>
    <definedName name="TOCobxWorking_Capital">'Working Capital'!$A$1</definedName>
    <definedName name="TOCrepobxBalance_Sheet_base_1_Quarter">'Balance Sheet Qly'!$A$8</definedName>
    <definedName name="TOCrepobxBalance_Sheet_base_2_SemiAnnual">'Balance Sheet SemiAnnually'!$A$8</definedName>
    <definedName name="TOCrepobxBalance_Sheet_base_Month">'Balance Sheet'!$A$8</definedName>
    <definedName name="TOCrepobxBalance_Sheet_Year">'Balance Sheet Ann'!$A$8</definedName>
    <definedName name="TOCrepobxCashflow_base_1_Quarter">'Cashflow Qly'!$A$8</definedName>
    <definedName name="TOCrepobxCashflow_base_2_SemiAnnual">'Cashflow SemiAnnually'!$A$8</definedName>
    <definedName name="TOCrepobxCashflow_base_Month">Cashflow!$A$8</definedName>
    <definedName name="TOCrepobxCashflow_Year">'Cashflow Ann'!$A$8</definedName>
    <definedName name="TOCrepobxIncome_Statement_base_1_Quarter">'Income Statement Qly'!$A$8</definedName>
    <definedName name="TOCrepobxIncome_Statement_base_2_SemiAnnual">'Income Statement SemiAnnually'!$A$8</definedName>
    <definedName name="TOCrepobxIncome_Statement_base_Month">'Income Statement'!$A$8</definedName>
    <definedName name="TOCrepobxIncome_Statement_Year">'Income Statement Ann'!$A$8</definedName>
    <definedName name="TOCrepobxInventory_Report_base_1_Quarter">'Inventory Report Qly'!$A$8</definedName>
    <definedName name="TOCrepobxInventory_Report_base_2_SemiAnnual">'Inventory Report SemiAnnually'!$A$8</definedName>
    <definedName name="TOCrepobxInventory_Report_base_Month">'Inventory Report'!$A$8</definedName>
    <definedName name="TOCrepobxInventory_Report_Year">'Inventory Report Ann'!$A$8</definedName>
    <definedName name="TOCrepobxMetrics_Report_base_1_Quarter">'Metrics Report Qly'!$A$8</definedName>
    <definedName name="TOCrepobxMetrics_Report_base_2_SemiAnnual">'Metrics Report SemiAnnually'!$A$8</definedName>
    <definedName name="TOCrepobxMetrics_Report_base_Month">'Metrics Report'!$A$8</definedName>
    <definedName name="TOCrepobxMetrics_Report_Year">'Metrics Report Ann'!$A$8</definedName>
    <definedName name="Total_Units_retired">Inventory!$J$85:$BQ$85</definedName>
    <definedName name="Total_Units_retired.BEG">Inventory!$J$83:$BQ$83</definedName>
    <definedName name="Totals">InpS!$H$5</definedName>
    <definedName name="Units">InpS!$G$1</definedName>
    <definedName name="Units_delivered">Inventory!$J$41:$BQ$41</definedName>
    <definedName name="Units_deployed">Inventory!$J$54:$BQ$54</definedName>
    <definedName name="Units_in_stock">Inventory!$J$65:$BQ$65</definedName>
    <definedName name="Units_in_stock.BEG">Inventory!$J$60:$BQ$60</definedName>
    <definedName name="Units_in_use">Inventory!$J$73:$BQ$73</definedName>
    <definedName name="Units_in_use.BEG">Inventory!$J$70:$BQ$70</definedName>
    <definedName name="Units_on_order">Inventory!$J$50:$BQ$50</definedName>
    <definedName name="Units_on_order.BEG">Inventory!$J$47:$BQ$47</definedName>
    <definedName name="Units_ordered">Inventory!$J$33:$BQ$33</definedName>
    <definedName name="Units_retired">Inventory!$J$77:$BQ$77</definedName>
    <definedName name="Use_short_term_forecast_flag_end_date" xml:space="preserve"> InpC!$F$96</definedName>
    <definedName name="Variable_Operating_Costs_as_a___of_sales" xml:space="preserve"> InpC!$F$29</definedName>
    <definedName name="Variable_Operating_expense">Expense!$J$26:$BQ$26</definedName>
    <definedName name="Variable_Operating_expense.NEG">Expense!$J$27:$BQ$27</definedName>
    <definedName name="VAT_balance">VAT!$J$32:$BQ$32</definedName>
    <definedName name="VAT_balance.BEG">VAT!$J$29:$BQ$29</definedName>
    <definedName name="VAT_paid">VAT!$J$37:$BQ$37</definedName>
    <definedName name="VAT_paid.NEG">VAT!$J$38:$BQ$38</definedName>
    <definedName name="VAT_payment_delay_in_months" xml:space="preserve"> InpC!$F$87</definedName>
    <definedName name="VAT_rate" xml:space="preserve"> InpC!$F$86</definedName>
    <definedName name="VAT_return_this_period_beginning_date" xml:space="preserve"> InpC!$F$84</definedName>
    <definedName name="VAT_return_this_period_every_x_periods" xml:space="preserve"> InpC!$F$83</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0" i="3" l="1"/>
  <c r="K78" i="3"/>
  <c r="K74" i="3"/>
  <c r="K73" i="3"/>
  <c r="K70" i="3"/>
  <c r="K67" i="3"/>
  <c r="K66" i="3"/>
  <c r="K65" i="3"/>
  <c r="K60" i="3"/>
  <c r="K59" i="3"/>
  <c r="K58" i="3"/>
  <c r="K57" i="3"/>
  <c r="K56" i="3"/>
  <c r="K55" i="3"/>
  <c r="K54" i="3"/>
  <c r="K53" i="3"/>
  <c r="K52" i="3"/>
  <c r="K51" i="3"/>
  <c r="K50" i="3"/>
  <c r="K49" i="3"/>
  <c r="K48" i="3"/>
  <c r="K47" i="3"/>
  <c r="K46" i="3"/>
  <c r="K45" i="3"/>
  <c r="K44" i="3"/>
  <c r="K43" i="3"/>
  <c r="K42" i="3"/>
  <c r="K41" i="3"/>
  <c r="K40" i="3"/>
  <c r="K39" i="3"/>
  <c r="K38" i="3"/>
  <c r="K37" i="3"/>
  <c r="K31" i="3"/>
  <c r="K30" i="3"/>
  <c r="K28" i="3"/>
  <c r="K25" i="3"/>
  <c r="K24" i="3"/>
  <c r="K23" i="3"/>
  <c r="K19" i="3"/>
  <c r="K18" i="3"/>
  <c r="B68" i="51"/>
  <c r="BK67" i="51"/>
  <c r="BJ67" i="51"/>
  <c r="BI67" i="51"/>
  <c r="BH67" i="51"/>
  <c r="BG67" i="51"/>
  <c r="BF67" i="51"/>
  <c r="BE67" i="51"/>
  <c r="BD67" i="51"/>
  <c r="BC67" i="51"/>
  <c r="BB67" i="51"/>
  <c r="BA67" i="51"/>
  <c r="AZ67" i="51"/>
  <c r="AY67" i="51"/>
  <c r="AX67" i="51"/>
  <c r="AW67" i="51"/>
  <c r="AV67" i="51"/>
  <c r="AU67" i="51"/>
  <c r="AT67" i="51"/>
  <c r="AS67" i="51"/>
  <c r="AR67" i="51"/>
  <c r="AQ67" i="51"/>
  <c r="AP67" i="51"/>
  <c r="AO67" i="51"/>
  <c r="AN67" i="51"/>
  <c r="AM67" i="51"/>
  <c r="AL67" i="51"/>
  <c r="AK67" i="51"/>
  <c r="AJ67" i="51"/>
  <c r="AI67" i="51"/>
  <c r="AH67" i="51"/>
  <c r="AG67" i="51"/>
  <c r="AF67" i="51"/>
  <c r="AE67" i="51"/>
  <c r="AD67" i="51"/>
  <c r="AC67" i="51"/>
  <c r="AB67" i="51"/>
  <c r="AA67" i="51"/>
  <c r="Z67" i="51"/>
  <c r="Y67" i="51"/>
  <c r="X67" i="51"/>
  <c r="W67" i="51"/>
  <c r="V67" i="51"/>
  <c r="U67" i="51"/>
  <c r="T67" i="51"/>
  <c r="S67" i="51"/>
  <c r="R67" i="51"/>
  <c r="Q67" i="51"/>
  <c r="P67" i="51"/>
  <c r="O67" i="51"/>
  <c r="N67" i="51"/>
  <c r="M67" i="51"/>
  <c r="L67" i="51"/>
  <c r="K67" i="51"/>
  <c r="J67" i="51"/>
  <c r="I67" i="51"/>
  <c r="H67" i="51"/>
  <c r="G67" i="51"/>
  <c r="F67" i="51"/>
  <c r="E67" i="51"/>
  <c r="D67" i="51"/>
  <c r="B67" i="51"/>
  <c r="B65" i="51"/>
  <c r="B64" i="51"/>
  <c r="B63" i="51"/>
  <c r="B62" i="51"/>
  <c r="B61" i="51"/>
  <c r="B60" i="51"/>
  <c r="B59" i="51"/>
  <c r="B58" i="51"/>
  <c r="B57" i="51"/>
  <c r="B56" i="51"/>
  <c r="B54" i="51"/>
  <c r="B53" i="51"/>
  <c r="B51" i="51"/>
  <c r="D50" i="51"/>
  <c r="B50" i="51"/>
  <c r="B49" i="51"/>
  <c r="B48" i="51"/>
  <c r="B47" i="51"/>
  <c r="B42" i="51"/>
  <c r="B41" i="51"/>
  <c r="B40" i="51"/>
  <c r="B38" i="51"/>
  <c r="B36" i="51"/>
  <c r="B35" i="51"/>
  <c r="B34" i="51"/>
  <c r="B33" i="51"/>
  <c r="B32" i="51"/>
  <c r="B31" i="51"/>
  <c r="B30" i="51"/>
  <c r="B29" i="51"/>
  <c r="B27" i="51"/>
  <c r="B26" i="51"/>
  <c r="B25" i="51"/>
  <c r="B24" i="51"/>
  <c r="B23" i="51"/>
  <c r="B18" i="51"/>
  <c r="B17" i="51"/>
  <c r="B15" i="51"/>
  <c r="B14" i="51"/>
  <c r="B13" i="51"/>
  <c r="B12" i="51"/>
  <c r="B10" i="51"/>
  <c r="B9" i="51"/>
  <c r="B7" i="51"/>
  <c r="B6" i="51"/>
  <c r="B5" i="51"/>
  <c r="B4" i="51"/>
  <c r="BK2" i="51"/>
  <c r="BJ2" i="51"/>
  <c r="BI2" i="51"/>
  <c r="BI45" i="51" s="1"/>
  <c r="BH2" i="51"/>
  <c r="BG2" i="51"/>
  <c r="BG45" i="51" s="1"/>
  <c r="BF2" i="51"/>
  <c r="BF45" i="51" s="1"/>
  <c r="BE2" i="51"/>
  <c r="BD2" i="51"/>
  <c r="BD21" i="51" s="1"/>
  <c r="BC2" i="51"/>
  <c r="BB2" i="51"/>
  <c r="BA2" i="51"/>
  <c r="BA45" i="51" s="1"/>
  <c r="AZ2" i="51"/>
  <c r="AY2" i="51"/>
  <c r="AY45" i="51" s="1"/>
  <c r="AX2" i="51"/>
  <c r="AX45" i="51" s="1"/>
  <c r="AW2" i="51"/>
  <c r="AV2" i="51"/>
  <c r="AV21" i="51" s="1"/>
  <c r="AU2" i="51"/>
  <c r="AT2" i="51"/>
  <c r="AS2" i="51"/>
  <c r="AS21" i="51" s="1"/>
  <c r="AR2" i="51"/>
  <c r="AQ2" i="51"/>
  <c r="AQ45" i="51" s="1"/>
  <c r="AP2" i="51"/>
  <c r="AP45" i="51" s="1"/>
  <c r="AO2" i="51"/>
  <c r="AN2" i="51"/>
  <c r="AN21" i="51" s="1"/>
  <c r="AM2" i="51"/>
  <c r="AL2" i="51"/>
  <c r="AK2" i="51"/>
  <c r="AK21" i="51" s="1"/>
  <c r="AJ2" i="51"/>
  <c r="AI2" i="51"/>
  <c r="AI45" i="51" s="1"/>
  <c r="AH2" i="51"/>
  <c r="AH45" i="51" s="1"/>
  <c r="AG2" i="51"/>
  <c r="AF2" i="51"/>
  <c r="AF45" i="51" s="1"/>
  <c r="AE2" i="51"/>
  <c r="AD2" i="51"/>
  <c r="AC2" i="51"/>
  <c r="AC45" i="51" s="1"/>
  <c r="AB2" i="51"/>
  <c r="AA2" i="51"/>
  <c r="AA45" i="51" s="1"/>
  <c r="Z2" i="51"/>
  <c r="Z45" i="51" s="1"/>
  <c r="Y2" i="51"/>
  <c r="X2" i="51"/>
  <c r="X21" i="51" s="1"/>
  <c r="W2" i="51"/>
  <c r="V2" i="51"/>
  <c r="U2" i="51"/>
  <c r="U45" i="51" s="1"/>
  <c r="T2" i="51"/>
  <c r="S2" i="51"/>
  <c r="S45" i="51" s="1"/>
  <c r="R2" i="51"/>
  <c r="R45" i="51" s="1"/>
  <c r="Q2" i="51"/>
  <c r="P2" i="51"/>
  <c r="P21" i="51" s="1"/>
  <c r="O2" i="51"/>
  <c r="N2" i="51"/>
  <c r="M2" i="51"/>
  <c r="M21" i="51" s="1"/>
  <c r="L2" i="51"/>
  <c r="K2" i="51"/>
  <c r="J2" i="51"/>
  <c r="I2" i="51"/>
  <c r="H2" i="51"/>
  <c r="H21" i="51" s="1"/>
  <c r="G2" i="51"/>
  <c r="F2" i="51"/>
  <c r="E2" i="51"/>
  <c r="E21" i="51" s="1"/>
  <c r="D2" i="51"/>
  <c r="BK45" i="51"/>
  <c r="BJ45" i="51"/>
  <c r="BH45" i="51"/>
  <c r="BE45" i="51"/>
  <c r="BD45" i="51"/>
  <c r="BC45" i="51"/>
  <c r="BB45" i="51"/>
  <c r="AZ45" i="51"/>
  <c r="AW45" i="51"/>
  <c r="AV45" i="51"/>
  <c r="AU45" i="51"/>
  <c r="AT45" i="51"/>
  <c r="AS45" i="51"/>
  <c r="AR45" i="51"/>
  <c r="AO45" i="51"/>
  <c r="AN45" i="51"/>
  <c r="AM45" i="51"/>
  <c r="AL45" i="51"/>
  <c r="AJ45" i="51"/>
  <c r="AG45" i="51"/>
  <c r="AE45" i="51"/>
  <c r="AD45" i="51"/>
  <c r="AB45" i="51"/>
  <c r="Y45" i="51"/>
  <c r="X45" i="51"/>
  <c r="W45" i="51"/>
  <c r="V45" i="51"/>
  <c r="T45" i="51"/>
  <c r="Q45" i="51"/>
  <c r="P45" i="51"/>
  <c r="O45" i="51"/>
  <c r="N45" i="51"/>
  <c r="M45" i="51"/>
  <c r="L45" i="51"/>
  <c r="K45" i="51"/>
  <c r="J45" i="51"/>
  <c r="I45" i="51"/>
  <c r="H45" i="51"/>
  <c r="G45" i="51"/>
  <c r="F45" i="51"/>
  <c r="E45" i="51"/>
  <c r="D45" i="51"/>
  <c r="BK21" i="51"/>
  <c r="BJ21" i="51"/>
  <c r="BH21" i="51"/>
  <c r="BG21" i="51"/>
  <c r="BF21" i="51"/>
  <c r="BE21" i="51"/>
  <c r="BC21" i="51"/>
  <c r="BB21" i="51"/>
  <c r="AZ21" i="51"/>
  <c r="AY21" i="51"/>
  <c r="AX21" i="51"/>
  <c r="AW21" i="51"/>
  <c r="AU21" i="51"/>
  <c r="AT21" i="51"/>
  <c r="AR21" i="51"/>
  <c r="AQ21" i="51"/>
  <c r="AP21" i="51"/>
  <c r="AO21" i="51"/>
  <c r="AM21" i="51"/>
  <c r="AL21" i="51"/>
  <c r="AJ21" i="51"/>
  <c r="AI21" i="51"/>
  <c r="AH21" i="51"/>
  <c r="AG21" i="51"/>
  <c r="AE21" i="51"/>
  <c r="AD21" i="51"/>
  <c r="AB21" i="51"/>
  <c r="AA21" i="51"/>
  <c r="Z21" i="51"/>
  <c r="Y21" i="51"/>
  <c r="W21" i="51"/>
  <c r="V21" i="51"/>
  <c r="T21" i="51"/>
  <c r="S21" i="51"/>
  <c r="R21" i="51"/>
  <c r="Q21" i="51"/>
  <c r="O21" i="51"/>
  <c r="N21" i="51"/>
  <c r="L21" i="51"/>
  <c r="K21" i="51"/>
  <c r="J21" i="51"/>
  <c r="I21" i="51"/>
  <c r="G21" i="51"/>
  <c r="F21" i="51"/>
  <c r="D21" i="51"/>
  <c r="B68" i="50"/>
  <c r="H67" i="50"/>
  <c r="G67" i="50"/>
  <c r="F67" i="50"/>
  <c r="E67" i="50"/>
  <c r="D67" i="50"/>
  <c r="B67" i="50"/>
  <c r="B65" i="50"/>
  <c r="B64" i="50"/>
  <c r="B63" i="50"/>
  <c r="B62" i="50"/>
  <c r="B61" i="50"/>
  <c r="B60" i="50"/>
  <c r="B59" i="50"/>
  <c r="B58" i="50"/>
  <c r="B57" i="50"/>
  <c r="B56" i="50"/>
  <c r="B54" i="50"/>
  <c r="B53" i="50"/>
  <c r="B51" i="50"/>
  <c r="B50" i="50"/>
  <c r="B49" i="50"/>
  <c r="B48" i="50"/>
  <c r="B47" i="50"/>
  <c r="H45" i="50"/>
  <c r="G45" i="50"/>
  <c r="F45" i="50"/>
  <c r="E45" i="50"/>
  <c r="D45" i="50"/>
  <c r="B42" i="50"/>
  <c r="B41" i="50"/>
  <c r="B40" i="50"/>
  <c r="B38" i="50"/>
  <c r="B36" i="50"/>
  <c r="B35" i="50"/>
  <c r="B34" i="50"/>
  <c r="B33" i="50"/>
  <c r="B32" i="50"/>
  <c r="B31" i="50"/>
  <c r="B30" i="50"/>
  <c r="B29" i="50"/>
  <c r="B27" i="50"/>
  <c r="B26" i="50"/>
  <c r="B25" i="50"/>
  <c r="B24" i="50"/>
  <c r="B23" i="50"/>
  <c r="H21" i="50"/>
  <c r="G21" i="50"/>
  <c r="F21" i="50"/>
  <c r="E21" i="50"/>
  <c r="D21" i="50"/>
  <c r="B18" i="50"/>
  <c r="B17" i="50"/>
  <c r="B15" i="50"/>
  <c r="B14" i="50"/>
  <c r="B13" i="50"/>
  <c r="B12" i="50"/>
  <c r="B10" i="50"/>
  <c r="B9" i="50"/>
  <c r="B7" i="50"/>
  <c r="B6" i="50"/>
  <c r="B5" i="50"/>
  <c r="B4" i="50"/>
  <c r="H2" i="50"/>
  <c r="G2" i="50"/>
  <c r="F2" i="50"/>
  <c r="E2" i="50"/>
  <c r="D2" i="50"/>
  <c r="Z6" i="49"/>
  <c r="Y6" i="49"/>
  <c r="V6" i="49"/>
  <c r="R6" i="49"/>
  <c r="Q6" i="49"/>
  <c r="N6" i="49"/>
  <c r="J6" i="49"/>
  <c r="I6" i="49"/>
  <c r="F6" i="49"/>
  <c r="F4" i="49"/>
  <c r="I67" i="48"/>
  <c r="K79" i="3" s="1"/>
  <c r="I65" i="48"/>
  <c r="K77" i="3" s="1"/>
  <c r="I64" i="48"/>
  <c r="K76" i="3" s="1"/>
  <c r="F76" i="3" s="1"/>
  <c r="F247" i="6" s="1"/>
  <c r="I60" i="48"/>
  <c r="K72" i="3" s="1"/>
  <c r="I59" i="48"/>
  <c r="K71" i="3" s="1"/>
  <c r="F71" i="3" s="1"/>
  <c r="F52" i="17" s="1"/>
  <c r="I56" i="48"/>
  <c r="K68" i="3" s="1"/>
  <c r="I52" i="48"/>
  <c r="K64" i="3" s="1"/>
  <c r="I51" i="48"/>
  <c r="K63" i="3" s="1"/>
  <c r="F63" i="3" s="1"/>
  <c r="F18" i="16" s="1"/>
  <c r="I50" i="48"/>
  <c r="K62" i="3" s="1"/>
  <c r="F62" i="3" s="1"/>
  <c r="E46" i="48"/>
  <c r="I63" i="48" s="1"/>
  <c r="K75" i="3" s="1"/>
  <c r="F75" i="3" s="1"/>
  <c r="E43" i="48"/>
  <c r="E39" i="48"/>
  <c r="E36" i="48"/>
  <c r="I57" i="48" s="1"/>
  <c r="K69" i="3" s="1"/>
  <c r="F69" i="3" s="1"/>
  <c r="F231" i="6" s="1"/>
  <c r="E32" i="48"/>
  <c r="E29" i="48"/>
  <c r="I49" i="48" s="1"/>
  <c r="K61" i="3" s="1"/>
  <c r="F61" i="3" s="1"/>
  <c r="F239" i="6" s="1"/>
  <c r="I24" i="48"/>
  <c r="K36" i="3" s="1"/>
  <c r="I23" i="48"/>
  <c r="K35" i="3" s="1"/>
  <c r="I22" i="48"/>
  <c r="K34" i="3" s="1"/>
  <c r="I21" i="48"/>
  <c r="K33" i="3" s="1"/>
  <c r="I20" i="48"/>
  <c r="K32" i="3" s="1"/>
  <c r="I17" i="48"/>
  <c r="K29" i="3" s="1"/>
  <c r="I15" i="48"/>
  <c r="K27" i="3" s="1"/>
  <c r="I14" i="48"/>
  <c r="K26" i="3" s="1"/>
  <c r="I10" i="48"/>
  <c r="K22" i="3" s="1"/>
  <c r="I9" i="48"/>
  <c r="K21" i="3" s="1"/>
  <c r="I8" i="48"/>
  <c r="K20" i="3" s="1"/>
  <c r="I5" i="48"/>
  <c r="K17" i="3" s="1"/>
  <c r="I4" i="48"/>
  <c r="K16" i="3" s="1"/>
  <c r="I3" i="48"/>
  <c r="K15" i="3" s="1"/>
  <c r="E18" i="47"/>
  <c r="D18" i="47"/>
  <c r="B18" i="47"/>
  <c r="E12" i="47"/>
  <c r="D12" i="47"/>
  <c r="B12" i="47"/>
  <c r="C11" i="47"/>
  <c r="C12" i="47" s="1"/>
  <c r="C17" i="47" s="1"/>
  <c r="C18" i="47" s="1"/>
  <c r="E6" i="47"/>
  <c r="D6" i="47"/>
  <c r="C6" i="47"/>
  <c r="B6" i="47"/>
  <c r="L5" i="47"/>
  <c r="K5" i="47"/>
  <c r="J5" i="47"/>
  <c r="I5" i="47"/>
  <c r="F33" i="3"/>
  <c r="F12" i="15" s="1"/>
  <c r="F17" i="3"/>
  <c r="H16" i="4"/>
  <c r="H15" i="4"/>
  <c r="H14" i="4"/>
  <c r="H11" i="4"/>
  <c r="A1" i="4"/>
  <c r="M7" i="3"/>
  <c r="L7" i="3"/>
  <c r="K7" i="3"/>
  <c r="I5" i="3"/>
  <c r="I4" i="3"/>
  <c r="A1" i="3"/>
  <c r="A1" i="45"/>
  <c r="H21" i="44"/>
  <c r="H20" i="44"/>
  <c r="K11" i="44"/>
  <c r="J5" i="44"/>
  <c r="J2" i="44"/>
  <c r="H2" i="44"/>
  <c r="F1" i="43"/>
  <c r="A1" i="43"/>
  <c r="G8" i="42"/>
  <c r="E8" i="42"/>
  <c r="F1" i="42"/>
  <c r="A1" i="42"/>
  <c r="G8" i="41"/>
  <c r="E8" i="41"/>
  <c r="F1" i="41"/>
  <c r="A1" i="41"/>
  <c r="G8" i="40"/>
  <c r="E8" i="40"/>
  <c r="F1" i="40"/>
  <c r="A1" i="40"/>
  <c r="H19" i="39"/>
  <c r="G19" i="39"/>
  <c r="F19" i="39"/>
  <c r="E19" i="39"/>
  <c r="I18" i="39"/>
  <c r="G18" i="39"/>
  <c r="F18" i="39"/>
  <c r="E18" i="39"/>
  <c r="H17" i="39"/>
  <c r="G17" i="39"/>
  <c r="F17" i="39"/>
  <c r="E17" i="39"/>
  <c r="I16" i="39"/>
  <c r="G16" i="39"/>
  <c r="F16" i="39"/>
  <c r="E16" i="39"/>
  <c r="H15" i="39"/>
  <c r="G15" i="39"/>
  <c r="F15" i="39"/>
  <c r="E15" i="39"/>
  <c r="I14" i="39"/>
  <c r="G14" i="39"/>
  <c r="F14" i="39"/>
  <c r="E14" i="39"/>
  <c r="I13" i="39"/>
  <c r="G13" i="39"/>
  <c r="F13" i="39"/>
  <c r="E13" i="39"/>
  <c r="H12" i="39"/>
  <c r="G12" i="39"/>
  <c r="F12" i="39"/>
  <c r="E12" i="39"/>
  <c r="I11" i="39"/>
  <c r="G11" i="39"/>
  <c r="F11" i="39"/>
  <c r="E11" i="39"/>
  <c r="H10" i="39"/>
  <c r="G10" i="39"/>
  <c r="F10" i="39"/>
  <c r="E10" i="39"/>
  <c r="I9" i="39"/>
  <c r="G9" i="39"/>
  <c r="F9" i="39"/>
  <c r="E9" i="39"/>
  <c r="I8" i="39"/>
  <c r="G8" i="39"/>
  <c r="F8" i="39"/>
  <c r="E8" i="39"/>
  <c r="F1" i="39"/>
  <c r="A1" i="39"/>
  <c r="H19" i="38"/>
  <c r="G19" i="38"/>
  <c r="F19" i="38"/>
  <c r="E19" i="38"/>
  <c r="I18" i="38"/>
  <c r="G18" i="38"/>
  <c r="F18" i="38"/>
  <c r="E18" i="38"/>
  <c r="H17" i="38"/>
  <c r="G17" i="38"/>
  <c r="F17" i="38"/>
  <c r="E17" i="38"/>
  <c r="I16" i="38"/>
  <c r="G16" i="38"/>
  <c r="F16" i="38"/>
  <c r="E16" i="38"/>
  <c r="H15" i="38"/>
  <c r="G15" i="38"/>
  <c r="F15" i="38"/>
  <c r="E15" i="38"/>
  <c r="I14" i="38"/>
  <c r="G14" i="38"/>
  <c r="F14" i="38"/>
  <c r="E14" i="38"/>
  <c r="I13" i="38"/>
  <c r="G13" i="38"/>
  <c r="F13" i="38"/>
  <c r="E13" i="38"/>
  <c r="H12" i="38"/>
  <c r="G12" i="38"/>
  <c r="F12" i="38"/>
  <c r="E12" i="38"/>
  <c r="I11" i="38"/>
  <c r="G11" i="38"/>
  <c r="F11" i="38"/>
  <c r="E11" i="38"/>
  <c r="H10" i="38"/>
  <c r="G10" i="38"/>
  <c r="F10" i="38"/>
  <c r="E10" i="38"/>
  <c r="I9" i="38"/>
  <c r="G9" i="38"/>
  <c r="F9" i="38"/>
  <c r="E9" i="38"/>
  <c r="I8" i="38"/>
  <c r="G8" i="38"/>
  <c r="F8" i="38"/>
  <c r="E8" i="38"/>
  <c r="F1" i="38"/>
  <c r="A1" i="38"/>
  <c r="H19" i="37"/>
  <c r="G19" i="37"/>
  <c r="F19" i="37"/>
  <c r="E19" i="37"/>
  <c r="I18" i="37"/>
  <c r="G18" i="37"/>
  <c r="F18" i="37"/>
  <c r="E18" i="37"/>
  <c r="H17" i="37"/>
  <c r="G17" i="37"/>
  <c r="F17" i="37"/>
  <c r="E17" i="37"/>
  <c r="I16" i="37"/>
  <c r="G16" i="37"/>
  <c r="F16" i="37"/>
  <c r="E16" i="37"/>
  <c r="H15" i="37"/>
  <c r="G15" i="37"/>
  <c r="F15" i="37"/>
  <c r="E15" i="37"/>
  <c r="I14" i="37"/>
  <c r="G14" i="37"/>
  <c r="F14" i="37"/>
  <c r="E14" i="37"/>
  <c r="I13" i="37"/>
  <c r="G13" i="37"/>
  <c r="F13" i="37"/>
  <c r="E13" i="37"/>
  <c r="H12" i="37"/>
  <c r="G12" i="37"/>
  <c r="F12" i="37"/>
  <c r="E12" i="37"/>
  <c r="I11" i="37"/>
  <c r="G11" i="37"/>
  <c r="F11" i="37"/>
  <c r="E11" i="37"/>
  <c r="H10" i="37"/>
  <c r="G10" i="37"/>
  <c r="F10" i="37"/>
  <c r="E10" i="37"/>
  <c r="I9" i="37"/>
  <c r="G9" i="37"/>
  <c r="F9" i="37"/>
  <c r="E9" i="37"/>
  <c r="I8" i="37"/>
  <c r="G8" i="37"/>
  <c r="F8" i="37"/>
  <c r="E8" i="37"/>
  <c r="F1" i="37"/>
  <c r="A1" i="37"/>
  <c r="I28" i="36"/>
  <c r="H28" i="36"/>
  <c r="G28" i="36"/>
  <c r="F28" i="36"/>
  <c r="E28" i="36"/>
  <c r="I25" i="36"/>
  <c r="F25" i="36"/>
  <c r="I24" i="36"/>
  <c r="F24" i="36"/>
  <c r="I23" i="36"/>
  <c r="F23" i="36"/>
  <c r="I22" i="36"/>
  <c r="F22" i="36"/>
  <c r="I21" i="36"/>
  <c r="G21" i="36"/>
  <c r="F21" i="36"/>
  <c r="E21" i="36"/>
  <c r="I20" i="36"/>
  <c r="F20" i="36"/>
  <c r="I19" i="36"/>
  <c r="G19" i="36"/>
  <c r="F19" i="36"/>
  <c r="E19" i="36"/>
  <c r="I18" i="36"/>
  <c r="F18" i="36"/>
  <c r="I17" i="36"/>
  <c r="G17" i="36"/>
  <c r="F17" i="36"/>
  <c r="E17" i="36"/>
  <c r="I14" i="36"/>
  <c r="F14" i="36"/>
  <c r="I11" i="36"/>
  <c r="F11" i="36"/>
  <c r="I10" i="36"/>
  <c r="F10" i="36"/>
  <c r="I9" i="36"/>
  <c r="F9" i="36"/>
  <c r="I8" i="36"/>
  <c r="G8" i="36"/>
  <c r="F8" i="36"/>
  <c r="E8" i="36"/>
  <c r="F1" i="36"/>
  <c r="A1" i="36"/>
  <c r="I28" i="35"/>
  <c r="H28" i="35"/>
  <c r="G28" i="35"/>
  <c r="F28" i="35"/>
  <c r="E28" i="35"/>
  <c r="I25" i="35"/>
  <c r="F25" i="35"/>
  <c r="I24" i="35"/>
  <c r="F24" i="35"/>
  <c r="I23" i="35"/>
  <c r="F23" i="35"/>
  <c r="I22" i="35"/>
  <c r="F22" i="35"/>
  <c r="I21" i="35"/>
  <c r="G21" i="35"/>
  <c r="F21" i="35"/>
  <c r="E21" i="35"/>
  <c r="I20" i="35"/>
  <c r="F20" i="35"/>
  <c r="I19" i="35"/>
  <c r="G19" i="35"/>
  <c r="F19" i="35"/>
  <c r="E19" i="35"/>
  <c r="I18" i="35"/>
  <c r="F18" i="35"/>
  <c r="I17" i="35"/>
  <c r="G17" i="35"/>
  <c r="F17" i="35"/>
  <c r="E17" i="35"/>
  <c r="I14" i="35"/>
  <c r="F14" i="35"/>
  <c r="I11" i="35"/>
  <c r="F11" i="35"/>
  <c r="I10" i="35"/>
  <c r="F10" i="35"/>
  <c r="I9" i="35"/>
  <c r="F9" i="35"/>
  <c r="I8" i="35"/>
  <c r="G8" i="35"/>
  <c r="F8" i="35"/>
  <c r="E8" i="35"/>
  <c r="F1" i="35"/>
  <c r="A1" i="35"/>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H28" i="34"/>
  <c r="G28" i="34"/>
  <c r="F28" i="34"/>
  <c r="E28" i="34"/>
  <c r="I25" i="34"/>
  <c r="F25" i="34"/>
  <c r="I24" i="34"/>
  <c r="F24" i="34"/>
  <c r="I23" i="34"/>
  <c r="F23" i="34"/>
  <c r="I22" i="34"/>
  <c r="F22" i="34"/>
  <c r="I21" i="34"/>
  <c r="G21" i="34"/>
  <c r="F21" i="34"/>
  <c r="E21" i="34"/>
  <c r="I20" i="34"/>
  <c r="F20" i="34"/>
  <c r="I19" i="34"/>
  <c r="G19" i="34"/>
  <c r="F19" i="34"/>
  <c r="E19" i="34"/>
  <c r="I18" i="34"/>
  <c r="F18" i="34"/>
  <c r="I17" i="34"/>
  <c r="G17" i="34"/>
  <c r="F17" i="34"/>
  <c r="E17" i="34"/>
  <c r="I14" i="34"/>
  <c r="F14" i="34"/>
  <c r="I11" i="34"/>
  <c r="F11" i="34"/>
  <c r="I10" i="34"/>
  <c r="F10" i="34"/>
  <c r="I9" i="34"/>
  <c r="F9" i="34"/>
  <c r="I8" i="34"/>
  <c r="G8" i="34"/>
  <c r="F8" i="34"/>
  <c r="E8" i="34"/>
  <c r="F1" i="34"/>
  <c r="A1" i="34"/>
  <c r="I27" i="33"/>
  <c r="H27" i="33"/>
  <c r="G27" i="33"/>
  <c r="E27" i="33"/>
  <c r="H26" i="33"/>
  <c r="G26" i="33"/>
  <c r="F26" i="33"/>
  <c r="E26" i="33"/>
  <c r="H25" i="33"/>
  <c r="G25" i="33"/>
  <c r="F25" i="33"/>
  <c r="E25" i="33"/>
  <c r="I23" i="33"/>
  <c r="H23" i="33"/>
  <c r="G23" i="33"/>
  <c r="E23" i="33"/>
  <c r="H20" i="33"/>
  <c r="G20" i="33"/>
  <c r="F20" i="33"/>
  <c r="E20" i="33"/>
  <c r="H19" i="33"/>
  <c r="G19" i="33"/>
  <c r="F19" i="33"/>
  <c r="E19" i="33"/>
  <c r="H18" i="33"/>
  <c r="G18" i="33"/>
  <c r="F18" i="33"/>
  <c r="E18" i="33"/>
  <c r="H17" i="33"/>
  <c r="G17" i="33"/>
  <c r="F17" i="33"/>
  <c r="E17" i="33"/>
  <c r="H16" i="33"/>
  <c r="G16" i="33"/>
  <c r="F16" i="33"/>
  <c r="E16" i="33"/>
  <c r="H15" i="33"/>
  <c r="G15" i="33"/>
  <c r="F15" i="33"/>
  <c r="E15" i="33"/>
  <c r="H14" i="33"/>
  <c r="G14" i="33"/>
  <c r="F14" i="33"/>
  <c r="E14" i="33"/>
  <c r="H11" i="33"/>
  <c r="G11" i="33"/>
  <c r="F11" i="33"/>
  <c r="E11" i="33"/>
  <c r="H10" i="33"/>
  <c r="G10" i="33"/>
  <c r="F10" i="33"/>
  <c r="E10" i="33"/>
  <c r="I9" i="33"/>
  <c r="H9" i="33"/>
  <c r="F9" i="33"/>
  <c r="H8" i="33"/>
  <c r="G8" i="33"/>
  <c r="F8" i="33"/>
  <c r="E8" i="33"/>
  <c r="F1" i="33"/>
  <c r="A1" i="33"/>
  <c r="I27" i="32"/>
  <c r="H27" i="32"/>
  <c r="G27" i="32"/>
  <c r="E27" i="32"/>
  <c r="H26" i="32"/>
  <c r="G26" i="32"/>
  <c r="F26" i="32"/>
  <c r="E26" i="32"/>
  <c r="H25" i="32"/>
  <c r="G25" i="32"/>
  <c r="F25" i="32"/>
  <c r="E25" i="32"/>
  <c r="I23" i="32"/>
  <c r="H23" i="32"/>
  <c r="G23" i="32"/>
  <c r="E23" i="32"/>
  <c r="H20" i="32"/>
  <c r="G20" i="32"/>
  <c r="F20" i="32"/>
  <c r="E20" i="32"/>
  <c r="H19" i="32"/>
  <c r="G19" i="32"/>
  <c r="F19" i="32"/>
  <c r="E19" i="32"/>
  <c r="H18" i="32"/>
  <c r="G18" i="32"/>
  <c r="F18" i="32"/>
  <c r="E18" i="32"/>
  <c r="H17" i="32"/>
  <c r="G17" i="32"/>
  <c r="F17" i="32"/>
  <c r="E17" i="32"/>
  <c r="H16" i="32"/>
  <c r="G16" i="32"/>
  <c r="F16" i="32"/>
  <c r="E16" i="32"/>
  <c r="H15" i="32"/>
  <c r="G15" i="32"/>
  <c r="F15" i="32"/>
  <c r="E15" i="32"/>
  <c r="H14" i="32"/>
  <c r="G14" i="32"/>
  <c r="F14" i="32"/>
  <c r="E14" i="32"/>
  <c r="H11" i="32"/>
  <c r="G11" i="32"/>
  <c r="F11" i="32"/>
  <c r="E11" i="32"/>
  <c r="H10" i="32"/>
  <c r="G10" i="32"/>
  <c r="F10" i="32"/>
  <c r="E10" i="32"/>
  <c r="I9" i="32"/>
  <c r="H9" i="32"/>
  <c r="F9" i="32"/>
  <c r="H8" i="32"/>
  <c r="G8" i="32"/>
  <c r="F8" i="32"/>
  <c r="E8" i="32"/>
  <c r="F1" i="32"/>
  <c r="A1" i="32"/>
  <c r="I27" i="31"/>
  <c r="H27" i="31"/>
  <c r="G27" i="31"/>
  <c r="E27" i="31"/>
  <c r="H26" i="31"/>
  <c r="G26" i="31"/>
  <c r="F26" i="31"/>
  <c r="E26" i="31"/>
  <c r="H25" i="31"/>
  <c r="G25" i="31"/>
  <c r="F25" i="31"/>
  <c r="E25" i="31"/>
  <c r="I23" i="31"/>
  <c r="H23" i="31"/>
  <c r="G23" i="31"/>
  <c r="E23" i="31"/>
  <c r="H20" i="31"/>
  <c r="G20" i="31"/>
  <c r="F20" i="31"/>
  <c r="E20" i="31"/>
  <c r="H19" i="31"/>
  <c r="G19" i="31"/>
  <c r="F19" i="31"/>
  <c r="E19" i="31"/>
  <c r="H18" i="31"/>
  <c r="G18" i="31"/>
  <c r="F18" i="31"/>
  <c r="E18" i="31"/>
  <c r="H17" i="31"/>
  <c r="G17" i="31"/>
  <c r="F17" i="31"/>
  <c r="E17" i="31"/>
  <c r="H16" i="31"/>
  <c r="G16" i="31"/>
  <c r="F16" i="31"/>
  <c r="E16" i="31"/>
  <c r="H15" i="31"/>
  <c r="G15" i="31"/>
  <c r="F15" i="31"/>
  <c r="E15" i="31"/>
  <c r="H14" i="31"/>
  <c r="G14" i="31"/>
  <c r="F14" i="31"/>
  <c r="E14" i="31"/>
  <c r="H11" i="31"/>
  <c r="G11" i="31"/>
  <c r="F11" i="31"/>
  <c r="E11" i="31"/>
  <c r="H10" i="31"/>
  <c r="G10" i="31"/>
  <c r="F10" i="31"/>
  <c r="E10" i="31"/>
  <c r="I9" i="31"/>
  <c r="H9" i="31"/>
  <c r="F9" i="31"/>
  <c r="H8" i="31"/>
  <c r="G8" i="31"/>
  <c r="F8" i="31"/>
  <c r="E8" i="31"/>
  <c r="F1" i="31"/>
  <c r="A1" i="31"/>
  <c r="I21" i="30"/>
  <c r="F21" i="30"/>
  <c r="I18" i="30"/>
  <c r="F18" i="30"/>
  <c r="I17" i="30"/>
  <c r="F17" i="30"/>
  <c r="I16" i="30"/>
  <c r="F16" i="30"/>
  <c r="I13" i="30"/>
  <c r="F13" i="30"/>
  <c r="I10" i="30"/>
  <c r="F10" i="30"/>
  <c r="I9" i="30"/>
  <c r="F9" i="30"/>
  <c r="I8" i="30"/>
  <c r="G8" i="30"/>
  <c r="F8" i="30"/>
  <c r="E8" i="30"/>
  <c r="F1" i="30"/>
  <c r="A1" i="30"/>
  <c r="I21" i="29"/>
  <c r="F21" i="29"/>
  <c r="I18" i="29"/>
  <c r="F18" i="29"/>
  <c r="I17" i="29"/>
  <c r="F17" i="29"/>
  <c r="I16" i="29"/>
  <c r="F16" i="29"/>
  <c r="I13" i="29"/>
  <c r="F13" i="29"/>
  <c r="I10" i="29"/>
  <c r="F10" i="29"/>
  <c r="I9" i="29"/>
  <c r="F9" i="29"/>
  <c r="I8" i="29"/>
  <c r="G8" i="29"/>
  <c r="F8" i="29"/>
  <c r="E8" i="29"/>
  <c r="F1" i="29"/>
  <c r="A1" i="29"/>
  <c r="I21" i="28"/>
  <c r="F21" i="28"/>
  <c r="I18" i="28"/>
  <c r="F18" i="28"/>
  <c r="I17" i="28"/>
  <c r="F17" i="28"/>
  <c r="I16" i="28"/>
  <c r="F16" i="28"/>
  <c r="I13" i="28"/>
  <c r="F13" i="28"/>
  <c r="I10" i="28"/>
  <c r="F10" i="28"/>
  <c r="I9" i="28"/>
  <c r="F9" i="28"/>
  <c r="I8" i="28"/>
  <c r="G8" i="28"/>
  <c r="F8" i="28"/>
  <c r="E8" i="28"/>
  <c r="F1" i="28"/>
  <c r="A1" i="28"/>
  <c r="G8" i="27"/>
  <c r="E8" i="27"/>
  <c r="F1" i="27"/>
  <c r="A1" i="27"/>
  <c r="H19" i="26"/>
  <c r="G19" i="26"/>
  <c r="F19" i="26"/>
  <c r="E19" i="26"/>
  <c r="I18" i="26"/>
  <c r="G18" i="26"/>
  <c r="F18" i="26"/>
  <c r="E18" i="26"/>
  <c r="H17" i="26"/>
  <c r="G17" i="26"/>
  <c r="F17" i="26"/>
  <c r="E17" i="26"/>
  <c r="I16" i="26"/>
  <c r="G16" i="26"/>
  <c r="F16" i="26"/>
  <c r="E16" i="26"/>
  <c r="H15" i="26"/>
  <c r="G15" i="26"/>
  <c r="F15" i="26"/>
  <c r="E15" i="26"/>
  <c r="I14" i="26"/>
  <c r="G14" i="26"/>
  <c r="F14" i="26"/>
  <c r="E14" i="26"/>
  <c r="I13" i="26"/>
  <c r="G13" i="26"/>
  <c r="F13" i="26"/>
  <c r="E13" i="26"/>
  <c r="H12" i="26"/>
  <c r="G12" i="26"/>
  <c r="F12" i="26"/>
  <c r="E12" i="26"/>
  <c r="I11" i="26"/>
  <c r="G11" i="26"/>
  <c r="F11" i="26"/>
  <c r="E11" i="26"/>
  <c r="H10" i="26"/>
  <c r="G10" i="26"/>
  <c r="F10" i="26"/>
  <c r="E10" i="26"/>
  <c r="I9" i="26"/>
  <c r="G9" i="26"/>
  <c r="F9" i="26"/>
  <c r="E9" i="26"/>
  <c r="I8" i="26"/>
  <c r="G8" i="26"/>
  <c r="F8" i="26"/>
  <c r="E8" i="26"/>
  <c r="F1" i="26"/>
  <c r="A1" i="26"/>
  <c r="I28" i="25"/>
  <c r="H28" i="25"/>
  <c r="G28" i="25"/>
  <c r="F28" i="25"/>
  <c r="E28" i="25"/>
  <c r="I25" i="25"/>
  <c r="F25" i="25"/>
  <c r="I24" i="25"/>
  <c r="F24" i="25"/>
  <c r="I23" i="25"/>
  <c r="F23" i="25"/>
  <c r="I22" i="25"/>
  <c r="F22" i="25"/>
  <c r="I21" i="25"/>
  <c r="G21" i="25"/>
  <c r="F21" i="25"/>
  <c r="E21" i="25"/>
  <c r="I20" i="25"/>
  <c r="F20" i="25"/>
  <c r="I19" i="25"/>
  <c r="G19" i="25"/>
  <c r="F19" i="25"/>
  <c r="E19" i="25"/>
  <c r="I18" i="25"/>
  <c r="F18" i="25"/>
  <c r="I17" i="25"/>
  <c r="G17" i="25"/>
  <c r="F17" i="25"/>
  <c r="E17" i="25"/>
  <c r="I14" i="25"/>
  <c r="F14" i="25"/>
  <c r="I11" i="25"/>
  <c r="F11" i="25"/>
  <c r="I10" i="25"/>
  <c r="F10" i="25"/>
  <c r="I9" i="25"/>
  <c r="F9" i="25"/>
  <c r="I8" i="25"/>
  <c r="G8" i="25"/>
  <c r="F8" i="25"/>
  <c r="E8" i="25"/>
  <c r="F1" i="25"/>
  <c r="A1" i="25"/>
  <c r="I27" i="24"/>
  <c r="H27" i="24"/>
  <c r="G27" i="24"/>
  <c r="E27" i="24"/>
  <c r="H26" i="24"/>
  <c r="G26" i="24"/>
  <c r="F26" i="24"/>
  <c r="E26" i="24"/>
  <c r="H25" i="24"/>
  <c r="G25" i="24"/>
  <c r="F25" i="24"/>
  <c r="E25" i="24"/>
  <c r="I23" i="24"/>
  <c r="H23" i="24"/>
  <c r="G23" i="24"/>
  <c r="E23" i="24"/>
  <c r="H20" i="24"/>
  <c r="G20" i="24"/>
  <c r="F20" i="24"/>
  <c r="E20" i="24"/>
  <c r="H19" i="24"/>
  <c r="G19" i="24"/>
  <c r="F19" i="24"/>
  <c r="E19" i="24"/>
  <c r="H18" i="24"/>
  <c r="G18" i="24"/>
  <c r="F18" i="24"/>
  <c r="E18" i="24"/>
  <c r="H17" i="24"/>
  <c r="G17" i="24"/>
  <c r="F17" i="24"/>
  <c r="E17" i="24"/>
  <c r="H16" i="24"/>
  <c r="G16" i="24"/>
  <c r="F16" i="24"/>
  <c r="E16" i="24"/>
  <c r="H15" i="24"/>
  <c r="G15" i="24"/>
  <c r="F15" i="24"/>
  <c r="E15" i="24"/>
  <c r="H14" i="24"/>
  <c r="G14" i="24"/>
  <c r="F14" i="24"/>
  <c r="E14" i="24"/>
  <c r="H11" i="24"/>
  <c r="G11" i="24"/>
  <c r="F11" i="24"/>
  <c r="E11" i="24"/>
  <c r="H10" i="24"/>
  <c r="G10" i="24"/>
  <c r="F10" i="24"/>
  <c r="E10" i="24"/>
  <c r="I9" i="24"/>
  <c r="H9" i="24"/>
  <c r="F9" i="24"/>
  <c r="H8" i="24"/>
  <c r="G8" i="24"/>
  <c r="F8" i="24"/>
  <c r="E8" i="24"/>
  <c r="F1" i="24"/>
  <c r="A1" i="24"/>
  <c r="I21" i="23"/>
  <c r="F21" i="23"/>
  <c r="I18" i="23"/>
  <c r="F18" i="23"/>
  <c r="I17" i="23"/>
  <c r="F17" i="23"/>
  <c r="I16" i="23"/>
  <c r="F16" i="23"/>
  <c r="I13" i="23"/>
  <c r="F13" i="23"/>
  <c r="I10" i="23"/>
  <c r="F10" i="23"/>
  <c r="I9" i="23"/>
  <c r="F9" i="23"/>
  <c r="I8" i="23"/>
  <c r="G8" i="23"/>
  <c r="F8" i="23"/>
  <c r="E8" i="23"/>
  <c r="F1" i="23"/>
  <c r="A1" i="23"/>
  <c r="I21" i="22"/>
  <c r="H21" i="22"/>
  <c r="G21" i="22"/>
  <c r="F21" i="22"/>
  <c r="E21" i="22"/>
  <c r="I16" i="22"/>
  <c r="H16" i="22"/>
  <c r="G16" i="22"/>
  <c r="F16" i="22"/>
  <c r="E16" i="22"/>
  <c r="I15" i="22"/>
  <c r="H15" i="22"/>
  <c r="G15" i="22"/>
  <c r="F15" i="22"/>
  <c r="E15" i="22"/>
  <c r="G10" i="22"/>
  <c r="E10" i="22"/>
  <c r="F1" i="22"/>
  <c r="A1" i="22"/>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I10" i="21"/>
  <c r="H10" i="21"/>
  <c r="G10" i="21"/>
  <c r="F10" i="21"/>
  <c r="E10" i="21"/>
  <c r="G9" i="21"/>
  <c r="E9" i="21"/>
  <c r="F1" i="21"/>
  <c r="A1" i="21"/>
  <c r="I82" i="20"/>
  <c r="G82" i="20"/>
  <c r="F82" i="20"/>
  <c r="E82" i="20"/>
  <c r="I81" i="20"/>
  <c r="G81" i="20"/>
  <c r="F81" i="20"/>
  <c r="E81" i="20"/>
  <c r="I77" i="20"/>
  <c r="G77" i="20"/>
  <c r="F77" i="20"/>
  <c r="E77" i="20"/>
  <c r="I76" i="20"/>
  <c r="G76" i="20"/>
  <c r="F76" i="20"/>
  <c r="E76" i="20"/>
  <c r="I74" i="20"/>
  <c r="H74" i="20"/>
  <c r="G74" i="20"/>
  <c r="F74" i="20"/>
  <c r="E74" i="20"/>
  <c r="G73" i="20"/>
  <c r="E73" i="20"/>
  <c r="G69" i="20"/>
  <c r="E69" i="20"/>
  <c r="I67" i="20"/>
  <c r="G67" i="20"/>
  <c r="F67" i="20"/>
  <c r="E67" i="20"/>
  <c r="I66" i="20"/>
  <c r="H66" i="20"/>
  <c r="G66" i="20"/>
  <c r="F66" i="20"/>
  <c r="E66" i="20"/>
  <c r="I60" i="20"/>
  <c r="H60" i="20"/>
  <c r="G60" i="20"/>
  <c r="F60" i="20"/>
  <c r="E60" i="20"/>
  <c r="I59" i="20"/>
  <c r="H59" i="20"/>
  <c r="G59" i="20"/>
  <c r="F59" i="20"/>
  <c r="E59" i="20"/>
  <c r="I58" i="20"/>
  <c r="H58" i="20"/>
  <c r="G58" i="20"/>
  <c r="F58" i="20"/>
  <c r="E58" i="20"/>
  <c r="I53" i="20"/>
  <c r="H53" i="20"/>
  <c r="G53" i="20"/>
  <c r="F53" i="20"/>
  <c r="E53" i="20"/>
  <c r="G52" i="20"/>
  <c r="E52" i="20"/>
  <c r="G48" i="20"/>
  <c r="E48" i="20"/>
  <c r="I46" i="20"/>
  <c r="G46" i="20"/>
  <c r="F46" i="20"/>
  <c r="E46" i="20"/>
  <c r="G45" i="20"/>
  <c r="E45" i="20"/>
  <c r="I40" i="20"/>
  <c r="G40" i="20"/>
  <c r="F40" i="20"/>
  <c r="E40" i="20"/>
  <c r="I39" i="20"/>
  <c r="G39" i="20"/>
  <c r="F39" i="20"/>
  <c r="E39" i="20"/>
  <c r="I35" i="20"/>
  <c r="G35" i="20"/>
  <c r="F35" i="20"/>
  <c r="E35" i="20"/>
  <c r="I34" i="20"/>
  <c r="G34" i="20"/>
  <c r="F34" i="20"/>
  <c r="E34" i="20"/>
  <c r="I32" i="20"/>
  <c r="I36" i="20" s="1"/>
  <c r="J33" i="20" s="1"/>
  <c r="J26" i="20" s="1"/>
  <c r="H32" i="20"/>
  <c r="G32" i="20"/>
  <c r="F32" i="20"/>
  <c r="E32" i="20"/>
  <c r="G31" i="20"/>
  <c r="E31" i="20"/>
  <c r="I26" i="20"/>
  <c r="H26" i="20"/>
  <c r="G26" i="20"/>
  <c r="F26" i="20"/>
  <c r="E26" i="20"/>
  <c r="I25" i="20"/>
  <c r="G25" i="20"/>
  <c r="F25" i="20"/>
  <c r="E25" i="20"/>
  <c r="I20" i="20"/>
  <c r="G20" i="20"/>
  <c r="F20" i="20"/>
  <c r="E20" i="20"/>
  <c r="I14" i="20"/>
  <c r="G14" i="20"/>
  <c r="F14" i="20"/>
  <c r="E14" i="20"/>
  <c r="I9" i="20"/>
  <c r="G9" i="20"/>
  <c r="F9" i="20"/>
  <c r="E9" i="20"/>
  <c r="F1" i="20"/>
  <c r="A1" i="20"/>
  <c r="I50" i="19"/>
  <c r="G50" i="19"/>
  <c r="F50" i="19"/>
  <c r="E50" i="19"/>
  <c r="I49" i="19"/>
  <c r="G49" i="19"/>
  <c r="F49" i="19"/>
  <c r="E49" i="19"/>
  <c r="I48" i="19"/>
  <c r="H48" i="19"/>
  <c r="G48" i="19"/>
  <c r="F48" i="19"/>
  <c r="E48" i="19"/>
  <c r="G43" i="19"/>
  <c r="F43" i="19"/>
  <c r="E43" i="19"/>
  <c r="G42" i="19"/>
  <c r="E42" i="19"/>
  <c r="G38" i="19"/>
  <c r="E38" i="19"/>
  <c r="I36" i="19"/>
  <c r="G36" i="19"/>
  <c r="F36" i="19"/>
  <c r="E36" i="19"/>
  <c r="G35" i="19"/>
  <c r="E35" i="19"/>
  <c r="I31" i="19"/>
  <c r="G31" i="19"/>
  <c r="F31" i="19"/>
  <c r="E31" i="19"/>
  <c r="I30" i="19"/>
  <c r="G30" i="19"/>
  <c r="F30" i="19"/>
  <c r="E30" i="19"/>
  <c r="I28" i="19"/>
  <c r="H28" i="19"/>
  <c r="G28" i="19"/>
  <c r="F28" i="19"/>
  <c r="E28" i="19"/>
  <c r="G27" i="19"/>
  <c r="E27" i="19"/>
  <c r="I22" i="19"/>
  <c r="G22" i="19"/>
  <c r="F22" i="19"/>
  <c r="E22" i="19"/>
  <c r="I21" i="19"/>
  <c r="G21" i="19"/>
  <c r="F21" i="19"/>
  <c r="E21" i="19"/>
  <c r="I16" i="19"/>
  <c r="G16" i="19"/>
  <c r="F16" i="19"/>
  <c r="E16" i="19"/>
  <c r="G15" i="19"/>
  <c r="E15" i="19"/>
  <c r="I10" i="19"/>
  <c r="G10" i="19"/>
  <c r="F10" i="19"/>
  <c r="E10" i="19"/>
  <c r="I9" i="19"/>
  <c r="G9" i="19"/>
  <c r="F9" i="19"/>
  <c r="E9" i="19"/>
  <c r="F1" i="19"/>
  <c r="A1" i="19"/>
  <c r="G54" i="18"/>
  <c r="E54" i="18"/>
  <c r="G53" i="18"/>
  <c r="E53" i="18"/>
  <c r="G52" i="18"/>
  <c r="E52" i="18"/>
  <c r="G48" i="18"/>
  <c r="E48" i="18"/>
  <c r="I46" i="18"/>
  <c r="G46" i="18"/>
  <c r="F46" i="18"/>
  <c r="E46" i="18"/>
  <c r="G42" i="18"/>
  <c r="E42" i="18"/>
  <c r="I40" i="18"/>
  <c r="H40" i="18"/>
  <c r="G40" i="18"/>
  <c r="F40" i="18"/>
  <c r="E40" i="18"/>
  <c r="G39" i="18"/>
  <c r="E39" i="18"/>
  <c r="I34" i="18"/>
  <c r="G34" i="18"/>
  <c r="F34" i="18"/>
  <c r="E34" i="18"/>
  <c r="I33" i="18"/>
  <c r="G33" i="18"/>
  <c r="F33" i="18"/>
  <c r="E33" i="18"/>
  <c r="G29" i="18"/>
  <c r="E29" i="18"/>
  <c r="I27" i="18"/>
  <c r="H27" i="18"/>
  <c r="G27" i="18"/>
  <c r="F27" i="18"/>
  <c r="E27" i="18"/>
  <c r="G26" i="18"/>
  <c r="E26" i="18"/>
  <c r="I21" i="18"/>
  <c r="G21" i="18"/>
  <c r="F21" i="18"/>
  <c r="E21" i="18"/>
  <c r="I20" i="18"/>
  <c r="G20" i="18"/>
  <c r="F20" i="18"/>
  <c r="E20" i="18"/>
  <c r="G19" i="18"/>
  <c r="E19" i="18"/>
  <c r="G18" i="18"/>
  <c r="E18" i="18"/>
  <c r="I14" i="18"/>
  <c r="G14" i="18"/>
  <c r="F14" i="18"/>
  <c r="E14" i="18"/>
  <c r="I13" i="18"/>
  <c r="G13" i="18"/>
  <c r="F13" i="18"/>
  <c r="E13" i="18"/>
  <c r="I12" i="18"/>
  <c r="G12" i="18"/>
  <c r="F12" i="18"/>
  <c r="E12" i="18"/>
  <c r="I10" i="18"/>
  <c r="H10" i="18"/>
  <c r="G10" i="18"/>
  <c r="F10" i="18"/>
  <c r="E10" i="18"/>
  <c r="G9" i="18"/>
  <c r="E9" i="18"/>
  <c r="F1" i="18"/>
  <c r="A1" i="18"/>
  <c r="G54" i="17"/>
  <c r="E54" i="17"/>
  <c r="G53" i="17"/>
  <c r="E53" i="17"/>
  <c r="G52" i="17"/>
  <c r="E52" i="17"/>
  <c r="G48" i="17"/>
  <c r="E48" i="17"/>
  <c r="I46" i="17"/>
  <c r="G46" i="17"/>
  <c r="F46" i="17"/>
  <c r="E46" i="17"/>
  <c r="G42" i="17"/>
  <c r="E42" i="17"/>
  <c r="I40" i="17"/>
  <c r="H40" i="17"/>
  <c r="G40" i="17"/>
  <c r="F40" i="17"/>
  <c r="E40" i="17"/>
  <c r="G39" i="17"/>
  <c r="E39" i="17"/>
  <c r="I34" i="17"/>
  <c r="G34" i="17"/>
  <c r="F34" i="17"/>
  <c r="E34" i="17"/>
  <c r="I33" i="17"/>
  <c r="G33" i="17"/>
  <c r="F33" i="17"/>
  <c r="E33" i="17"/>
  <c r="G29" i="17"/>
  <c r="E29" i="17"/>
  <c r="I27" i="17"/>
  <c r="G27" i="17"/>
  <c r="F27" i="17"/>
  <c r="E27" i="17"/>
  <c r="G26" i="17"/>
  <c r="E26" i="17"/>
  <c r="I21" i="17"/>
  <c r="G21" i="17"/>
  <c r="F21" i="17"/>
  <c r="E21" i="17"/>
  <c r="I20" i="17"/>
  <c r="G20" i="17"/>
  <c r="F20" i="17"/>
  <c r="E20" i="17"/>
  <c r="G19" i="17"/>
  <c r="E19" i="17"/>
  <c r="G18" i="17"/>
  <c r="E18" i="17"/>
  <c r="I14" i="17"/>
  <c r="G14" i="17"/>
  <c r="F14" i="17"/>
  <c r="E14" i="17"/>
  <c r="I13" i="17"/>
  <c r="G13" i="17"/>
  <c r="F13" i="17"/>
  <c r="E13" i="17"/>
  <c r="I12" i="17"/>
  <c r="G12" i="17"/>
  <c r="F12" i="17"/>
  <c r="E12" i="17"/>
  <c r="I10" i="17"/>
  <c r="H10" i="17"/>
  <c r="G10" i="17"/>
  <c r="F10" i="17"/>
  <c r="E10" i="17"/>
  <c r="G9" i="17"/>
  <c r="E9" i="17"/>
  <c r="F1" i="17"/>
  <c r="A1" i="17"/>
  <c r="G53" i="16"/>
  <c r="E53" i="16"/>
  <c r="G52" i="16"/>
  <c r="E52" i="16"/>
  <c r="G51" i="16"/>
  <c r="E51" i="16"/>
  <c r="G47" i="16"/>
  <c r="E47" i="16"/>
  <c r="I45" i="16"/>
  <c r="G45" i="16"/>
  <c r="F45" i="16"/>
  <c r="E45" i="16"/>
  <c r="G41" i="16"/>
  <c r="E41" i="16"/>
  <c r="I39" i="16"/>
  <c r="H39" i="16"/>
  <c r="G39" i="16"/>
  <c r="F39" i="16"/>
  <c r="E39" i="16"/>
  <c r="G38" i="16"/>
  <c r="E38" i="16"/>
  <c r="I33" i="16"/>
  <c r="G33" i="16"/>
  <c r="F33" i="16"/>
  <c r="E33" i="16"/>
  <c r="I32" i="16"/>
  <c r="G32" i="16"/>
  <c r="F32" i="16"/>
  <c r="E32" i="16"/>
  <c r="G28" i="16"/>
  <c r="E28" i="16"/>
  <c r="I26" i="16"/>
  <c r="G26" i="16"/>
  <c r="F26" i="16"/>
  <c r="E26" i="16"/>
  <c r="G25" i="16"/>
  <c r="E25" i="16"/>
  <c r="I20" i="16"/>
  <c r="G20" i="16"/>
  <c r="F20" i="16"/>
  <c r="E20" i="16"/>
  <c r="I19" i="16"/>
  <c r="G19" i="16"/>
  <c r="F19" i="16"/>
  <c r="E19" i="16"/>
  <c r="G18" i="16"/>
  <c r="E18" i="16"/>
  <c r="I14" i="16"/>
  <c r="G14" i="16"/>
  <c r="F14" i="16"/>
  <c r="E14" i="16"/>
  <c r="I13" i="16"/>
  <c r="G13" i="16"/>
  <c r="F13" i="16"/>
  <c r="E13" i="16"/>
  <c r="I12" i="16"/>
  <c r="G12" i="16"/>
  <c r="F12" i="16"/>
  <c r="E12" i="16"/>
  <c r="I10" i="16"/>
  <c r="H10" i="16"/>
  <c r="G10" i="16"/>
  <c r="F10" i="16"/>
  <c r="E10" i="16"/>
  <c r="G9" i="16"/>
  <c r="E9" i="16"/>
  <c r="F1" i="16"/>
  <c r="A1" i="16"/>
  <c r="G52" i="15"/>
  <c r="E52" i="15"/>
  <c r="I50" i="15"/>
  <c r="G50" i="15"/>
  <c r="F50" i="15"/>
  <c r="E50" i="15"/>
  <c r="I49" i="15"/>
  <c r="G49" i="15"/>
  <c r="F49" i="15"/>
  <c r="E49" i="15"/>
  <c r="I48" i="15"/>
  <c r="G48" i="15"/>
  <c r="F48" i="15"/>
  <c r="E48" i="15"/>
  <c r="I44" i="15"/>
  <c r="G44" i="15"/>
  <c r="F44" i="15"/>
  <c r="E44" i="15"/>
  <c r="I43" i="15"/>
  <c r="G43" i="15"/>
  <c r="F43" i="15"/>
  <c r="E43" i="15"/>
  <c r="I42" i="15"/>
  <c r="G42" i="15"/>
  <c r="F42" i="15"/>
  <c r="E42" i="15"/>
  <c r="I40" i="15"/>
  <c r="H40" i="15"/>
  <c r="G40" i="15"/>
  <c r="F40" i="15"/>
  <c r="E40" i="15"/>
  <c r="G39" i="15"/>
  <c r="E39" i="15"/>
  <c r="I35" i="15"/>
  <c r="G35" i="15"/>
  <c r="F35" i="15"/>
  <c r="E35" i="15"/>
  <c r="I34" i="15"/>
  <c r="G34" i="15"/>
  <c r="F34" i="15"/>
  <c r="E34" i="15"/>
  <c r="I33" i="15"/>
  <c r="G33" i="15"/>
  <c r="F33" i="15"/>
  <c r="E33" i="15"/>
  <c r="I32" i="15"/>
  <c r="G32" i="15"/>
  <c r="F32" i="15"/>
  <c r="E32" i="15"/>
  <c r="I31" i="15"/>
  <c r="G31" i="15"/>
  <c r="F31" i="15"/>
  <c r="E31" i="15"/>
  <c r="I30" i="15"/>
  <c r="G30" i="15"/>
  <c r="F30" i="15"/>
  <c r="E30" i="15"/>
  <c r="I29" i="15"/>
  <c r="G29" i="15"/>
  <c r="F29" i="15"/>
  <c r="E29" i="15"/>
  <c r="I27" i="15"/>
  <c r="H27" i="15"/>
  <c r="G27" i="15"/>
  <c r="F27" i="15"/>
  <c r="E27" i="15"/>
  <c r="G26" i="15"/>
  <c r="E26" i="15"/>
  <c r="I21" i="15"/>
  <c r="G21" i="15"/>
  <c r="F21" i="15"/>
  <c r="E21" i="15"/>
  <c r="I20" i="15"/>
  <c r="G20" i="15"/>
  <c r="F20" i="15"/>
  <c r="E20" i="15"/>
  <c r="G19" i="15"/>
  <c r="E19" i="15"/>
  <c r="G15" i="15"/>
  <c r="E15" i="15"/>
  <c r="I13" i="15"/>
  <c r="G13" i="15"/>
  <c r="F13" i="15"/>
  <c r="E13" i="15"/>
  <c r="G12" i="15"/>
  <c r="E12" i="15"/>
  <c r="G11" i="15"/>
  <c r="E11" i="15"/>
  <c r="G10" i="15"/>
  <c r="E10" i="15"/>
  <c r="G9" i="15"/>
  <c r="E9" i="15"/>
  <c r="F1" i="15"/>
  <c r="A1" i="15"/>
  <c r="G27" i="14"/>
  <c r="E27" i="14"/>
  <c r="I25" i="14"/>
  <c r="G25" i="14"/>
  <c r="F25" i="14"/>
  <c r="E25" i="14"/>
  <c r="G24" i="14"/>
  <c r="E24" i="14"/>
  <c r="G20" i="14"/>
  <c r="E20" i="14"/>
  <c r="I18" i="14"/>
  <c r="H18" i="14"/>
  <c r="G18" i="14"/>
  <c r="F18" i="14"/>
  <c r="E18" i="14"/>
  <c r="G17" i="14"/>
  <c r="E17" i="14"/>
  <c r="I12" i="14"/>
  <c r="G12" i="14"/>
  <c r="F12" i="14"/>
  <c r="E12" i="14"/>
  <c r="I11" i="14"/>
  <c r="G11" i="14"/>
  <c r="F11" i="14"/>
  <c r="E11" i="14"/>
  <c r="G10" i="14"/>
  <c r="E10" i="14"/>
  <c r="G9" i="14"/>
  <c r="E9" i="14"/>
  <c r="F1" i="14"/>
  <c r="A1" i="14"/>
  <c r="G34" i="13"/>
  <c r="E34" i="13"/>
  <c r="G32" i="13"/>
  <c r="E32" i="13"/>
  <c r="I31" i="13"/>
  <c r="G31" i="13"/>
  <c r="F31" i="13"/>
  <c r="E31" i="13"/>
  <c r="I30" i="13"/>
  <c r="G30" i="13"/>
  <c r="F30" i="13"/>
  <c r="E30" i="13"/>
  <c r="I28" i="13"/>
  <c r="H28" i="13"/>
  <c r="G28" i="13"/>
  <c r="F28" i="13"/>
  <c r="E28" i="13"/>
  <c r="G27" i="13"/>
  <c r="E27" i="13"/>
  <c r="I23" i="13"/>
  <c r="G23" i="13"/>
  <c r="F23" i="13"/>
  <c r="E23" i="13"/>
  <c r="G22" i="13"/>
  <c r="E22" i="13"/>
  <c r="I21" i="13"/>
  <c r="G21" i="13"/>
  <c r="F21" i="13"/>
  <c r="E21" i="13"/>
  <c r="I19" i="13"/>
  <c r="H19" i="13"/>
  <c r="G19" i="13"/>
  <c r="F19" i="13"/>
  <c r="E19" i="13"/>
  <c r="G18" i="13"/>
  <c r="E18" i="13"/>
  <c r="G14" i="13"/>
  <c r="E14" i="13"/>
  <c r="H12" i="13"/>
  <c r="G12" i="13"/>
  <c r="F12" i="13"/>
  <c r="E12" i="13"/>
  <c r="I11" i="13"/>
  <c r="H11" i="13"/>
  <c r="G11" i="13"/>
  <c r="F11" i="13"/>
  <c r="E11" i="13"/>
  <c r="G10" i="13"/>
  <c r="E10" i="13"/>
  <c r="G9" i="13"/>
  <c r="E9" i="13"/>
  <c r="F1" i="13"/>
  <c r="A1" i="13"/>
  <c r="I84" i="12"/>
  <c r="G84" i="12"/>
  <c r="F84" i="12"/>
  <c r="E84" i="12"/>
  <c r="I82" i="12"/>
  <c r="H82" i="12"/>
  <c r="G82" i="12"/>
  <c r="F82" i="12"/>
  <c r="E82" i="12"/>
  <c r="G81" i="12"/>
  <c r="E81" i="12"/>
  <c r="I76" i="12"/>
  <c r="G76" i="12"/>
  <c r="F76" i="12"/>
  <c r="E76" i="12"/>
  <c r="I72" i="12"/>
  <c r="G72" i="12"/>
  <c r="F72" i="12"/>
  <c r="E72" i="12"/>
  <c r="I71" i="12"/>
  <c r="G71" i="12"/>
  <c r="F71" i="12"/>
  <c r="E71" i="12"/>
  <c r="I69" i="12"/>
  <c r="H69" i="12"/>
  <c r="G69" i="12"/>
  <c r="F69" i="12"/>
  <c r="E69" i="12"/>
  <c r="G68" i="12"/>
  <c r="E68" i="12"/>
  <c r="I64" i="12"/>
  <c r="G64" i="12"/>
  <c r="F64" i="12"/>
  <c r="E64" i="12"/>
  <c r="I63" i="12"/>
  <c r="G63" i="12"/>
  <c r="F63" i="12"/>
  <c r="E63" i="12"/>
  <c r="I62" i="12"/>
  <c r="G62" i="12"/>
  <c r="F62" i="12"/>
  <c r="E62" i="12"/>
  <c r="I61" i="12"/>
  <c r="G61" i="12"/>
  <c r="F61" i="12"/>
  <c r="E61" i="12"/>
  <c r="I59" i="12"/>
  <c r="H59" i="12"/>
  <c r="G59" i="12"/>
  <c r="F59" i="12"/>
  <c r="E59" i="12"/>
  <c r="G58" i="12"/>
  <c r="E58" i="12"/>
  <c r="I53" i="12"/>
  <c r="G53" i="12"/>
  <c r="F53" i="12"/>
  <c r="E53" i="12"/>
  <c r="I49" i="12"/>
  <c r="G49" i="12"/>
  <c r="F49" i="12"/>
  <c r="E49" i="12"/>
  <c r="I48" i="12"/>
  <c r="G48" i="12"/>
  <c r="F48" i="12"/>
  <c r="E48" i="12"/>
  <c r="I46" i="12"/>
  <c r="H46" i="12"/>
  <c r="G46" i="12"/>
  <c r="F46" i="12"/>
  <c r="E46" i="12"/>
  <c r="G45" i="12"/>
  <c r="E45" i="12"/>
  <c r="I40" i="12"/>
  <c r="G40" i="12"/>
  <c r="F40" i="12"/>
  <c r="E40" i="12"/>
  <c r="I39" i="12"/>
  <c r="G39" i="12"/>
  <c r="F39" i="12"/>
  <c r="E39"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H38" i="12"/>
  <c r="G38" i="12"/>
  <c r="F38" i="12"/>
  <c r="E38" i="12"/>
  <c r="G37" i="12"/>
  <c r="E37" i="12"/>
  <c r="I32" i="12"/>
  <c r="G32" i="12"/>
  <c r="F32" i="12"/>
  <c r="E32" i="12"/>
  <c r="I31" i="12"/>
  <c r="G31" i="12"/>
  <c r="F31" i="12"/>
  <c r="E31"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H30" i="12"/>
  <c r="G30" i="12"/>
  <c r="F30" i="12"/>
  <c r="E30" i="12"/>
  <c r="I25" i="12"/>
  <c r="H25" i="12"/>
  <c r="G25" i="12"/>
  <c r="F25" i="12"/>
  <c r="E25" i="12"/>
  <c r="H24" i="12"/>
  <c r="G24" i="12"/>
  <c r="F24" i="12"/>
  <c r="E24" i="12"/>
  <c r="G23" i="12"/>
  <c r="E23" i="12"/>
  <c r="G22" i="12"/>
  <c r="E22" i="12"/>
  <c r="I17" i="12"/>
  <c r="G17" i="12"/>
  <c r="F17" i="12"/>
  <c r="E17" i="12"/>
  <c r="I16" i="12"/>
  <c r="G16" i="12"/>
  <c r="F16" i="12"/>
  <c r="E16" i="12"/>
  <c r="G15" i="12"/>
  <c r="E15" i="12"/>
  <c r="I10" i="12"/>
  <c r="G10" i="12"/>
  <c r="F10" i="12"/>
  <c r="E10" i="12"/>
  <c r="G9" i="12"/>
  <c r="E9" i="12"/>
  <c r="F1" i="12"/>
  <c r="A1" i="12"/>
  <c r="I26" i="11"/>
  <c r="G26" i="11"/>
  <c r="F26" i="11"/>
  <c r="E26" i="11"/>
  <c r="I25" i="11"/>
  <c r="G25" i="11"/>
  <c r="F25" i="11"/>
  <c r="E25" i="11"/>
  <c r="I23" i="11"/>
  <c r="H23" i="11"/>
  <c r="G23" i="11"/>
  <c r="F23" i="11"/>
  <c r="E23" i="11"/>
  <c r="G22" i="11"/>
  <c r="E22" i="11"/>
  <c r="H17" i="11"/>
  <c r="G17" i="11"/>
  <c r="F17" i="11"/>
  <c r="E17" i="11"/>
  <c r="G16" i="11"/>
  <c r="E16" i="11"/>
  <c r="I11" i="11"/>
  <c r="G11" i="11"/>
  <c r="F11" i="11"/>
  <c r="E11" i="11"/>
  <c r="G10" i="11"/>
  <c r="E10" i="11"/>
  <c r="G9" i="11"/>
  <c r="E9" i="11"/>
  <c r="F1" i="11"/>
  <c r="A1" i="11"/>
  <c r="I42" i="10"/>
  <c r="G42" i="10"/>
  <c r="F42" i="10"/>
  <c r="E42" i="10"/>
  <c r="I41" i="10"/>
  <c r="G41" i="10"/>
  <c r="F41" i="10"/>
  <c r="E41" i="10"/>
  <c r="G40" i="10"/>
  <c r="E40" i="10"/>
  <c r="G39" i="10"/>
  <c r="E39" i="10"/>
  <c r="I34" i="10"/>
  <c r="G34" i="10"/>
  <c r="F34" i="10"/>
  <c r="E34" i="10"/>
  <c r="G33" i="10"/>
  <c r="E33" i="10"/>
  <c r="I28" i="10"/>
  <c r="H28" i="10"/>
  <c r="G28" i="10"/>
  <c r="F28" i="10"/>
  <c r="E28" i="10"/>
  <c r="I27" i="10"/>
  <c r="H27" i="10"/>
  <c r="G27" i="10"/>
  <c r="F27" i="10"/>
  <c r="E27" i="10"/>
  <c r="I23" i="10"/>
  <c r="G23" i="10"/>
  <c r="F23" i="10"/>
  <c r="E23" i="10"/>
  <c r="I22" i="10"/>
  <c r="G22" i="10"/>
  <c r="F22" i="10"/>
  <c r="E22" i="10"/>
  <c r="I21" i="10"/>
  <c r="G21" i="10"/>
  <c r="F21" i="10"/>
  <c r="E21" i="10"/>
  <c r="I19" i="10"/>
  <c r="H19" i="10"/>
  <c r="G19" i="10"/>
  <c r="F19" i="10"/>
  <c r="E19" i="10"/>
  <c r="G18" i="10"/>
  <c r="E18" i="10"/>
  <c r="I13" i="10"/>
  <c r="G13" i="10"/>
  <c r="F13" i="10"/>
  <c r="E13" i="10"/>
  <c r="I12" i="10"/>
  <c r="H12" i="10"/>
  <c r="G12" i="10"/>
  <c r="F12" i="10"/>
  <c r="E12" i="10"/>
  <c r="BQ11" i="10"/>
  <c r="BP11" i="10"/>
  <c r="BO11" i="10"/>
  <c r="BN11" i="10"/>
  <c r="BM11" i="10"/>
  <c r="BL11" i="10"/>
  <c r="BK11" i="10"/>
  <c r="BJ11" i="10"/>
  <c r="BI11" i="10"/>
  <c r="BH11" i="10"/>
  <c r="BG11" i="10"/>
  <c r="BF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G10" i="10"/>
  <c r="E10" i="10"/>
  <c r="G9" i="10"/>
  <c r="E9" i="10"/>
  <c r="F1" i="10"/>
  <c r="A1" i="10"/>
  <c r="I37" i="9"/>
  <c r="G37" i="9"/>
  <c r="F37" i="9"/>
  <c r="E37" i="9"/>
  <c r="I35" i="9"/>
  <c r="H35" i="9"/>
  <c r="G35" i="9"/>
  <c r="F35" i="9"/>
  <c r="E35" i="9"/>
  <c r="G34" i="9"/>
  <c r="E34" i="9"/>
  <c r="H29" i="9"/>
  <c r="G29" i="9"/>
  <c r="F29" i="9"/>
  <c r="E29" i="9"/>
  <c r="H28" i="9"/>
  <c r="G28" i="9"/>
  <c r="F28" i="9"/>
  <c r="E28" i="9"/>
  <c r="I23" i="9"/>
  <c r="H23" i="9"/>
  <c r="G23" i="9"/>
  <c r="F23" i="9"/>
  <c r="E23" i="9"/>
  <c r="I22" i="9"/>
  <c r="H22" i="9"/>
  <c r="G22" i="9"/>
  <c r="F22" i="9"/>
  <c r="E22" i="9"/>
  <c r="I17" i="9"/>
  <c r="G17" i="9"/>
  <c r="F17" i="9"/>
  <c r="E17" i="9"/>
  <c r="G16" i="9"/>
  <c r="E16" i="9"/>
  <c r="I12" i="9"/>
  <c r="G12" i="9"/>
  <c r="F12" i="9"/>
  <c r="E12" i="9"/>
  <c r="I10" i="9"/>
  <c r="H10" i="9"/>
  <c r="G10" i="9"/>
  <c r="F10" i="9"/>
  <c r="E10" i="9"/>
  <c r="G9" i="9"/>
  <c r="E9" i="9"/>
  <c r="F1" i="9"/>
  <c r="A1" i="9"/>
  <c r="H9" i="8"/>
  <c r="G9" i="8"/>
  <c r="F9" i="8"/>
  <c r="E9" i="8"/>
  <c r="F1" i="8"/>
  <c r="A1" i="8"/>
  <c r="F1" i="7"/>
  <c r="A1" i="7"/>
  <c r="G356" i="6"/>
  <c r="F356" i="6"/>
  <c r="F357" i="6" s="1"/>
  <c r="E356" i="6"/>
  <c r="I351" i="6"/>
  <c r="I352" i="6" s="1"/>
  <c r="H351" i="6"/>
  <c r="G351" i="6"/>
  <c r="F351" i="6"/>
  <c r="E351" i="6"/>
  <c r="I346" i="6"/>
  <c r="H346" i="6"/>
  <c r="G346" i="6"/>
  <c r="F346" i="6"/>
  <c r="E346" i="6"/>
  <c r="F342" i="6"/>
  <c r="G341" i="6"/>
  <c r="F341" i="6"/>
  <c r="E341" i="6"/>
  <c r="I337" i="6"/>
  <c r="I336" i="6"/>
  <c r="H336" i="6"/>
  <c r="G336" i="6"/>
  <c r="F336" i="6"/>
  <c r="E336" i="6"/>
  <c r="I331" i="6"/>
  <c r="H331" i="6"/>
  <c r="G331" i="6"/>
  <c r="F331" i="6"/>
  <c r="E331" i="6"/>
  <c r="F327" i="6"/>
  <c r="G326" i="6"/>
  <c r="F326" i="6"/>
  <c r="E326" i="6"/>
  <c r="G325" i="6"/>
  <c r="F325" i="6"/>
  <c r="E325" i="6"/>
  <c r="I320" i="6"/>
  <c r="H320" i="6"/>
  <c r="G320" i="6"/>
  <c r="F320" i="6"/>
  <c r="E320" i="6"/>
  <c r="I319" i="6"/>
  <c r="I321" i="6" s="1"/>
  <c r="H319" i="6"/>
  <c r="G319" i="6"/>
  <c r="F319" i="6"/>
  <c r="E319" i="6"/>
  <c r="G318" i="6"/>
  <c r="F318" i="6"/>
  <c r="E318" i="6"/>
  <c r="I313" i="6"/>
  <c r="H313" i="6"/>
  <c r="G313" i="6"/>
  <c r="F313" i="6"/>
  <c r="E313" i="6"/>
  <c r="I312" i="6"/>
  <c r="H312" i="6"/>
  <c r="G312" i="6"/>
  <c r="F312" i="6"/>
  <c r="E312" i="6"/>
  <c r="G311" i="6"/>
  <c r="F311" i="6"/>
  <c r="E311" i="6"/>
  <c r="G306" i="6"/>
  <c r="F306" i="6"/>
  <c r="F307" i="6" s="1"/>
  <c r="E306" i="6"/>
  <c r="I301" i="6"/>
  <c r="I302" i="6" s="1"/>
  <c r="H301" i="6"/>
  <c r="G301" i="6"/>
  <c r="F301" i="6"/>
  <c r="E301" i="6"/>
  <c r="I296" i="6"/>
  <c r="H296" i="6"/>
  <c r="G296" i="6"/>
  <c r="F296" i="6"/>
  <c r="E296" i="6"/>
  <c r="I290" i="6"/>
  <c r="H290" i="6"/>
  <c r="G290" i="6"/>
  <c r="F290" i="6"/>
  <c r="E290" i="6"/>
  <c r="G289" i="6"/>
  <c r="E289" i="6"/>
  <c r="I283" i="6"/>
  <c r="H283" i="6"/>
  <c r="G283" i="6"/>
  <c r="F283" i="6"/>
  <c r="E283" i="6"/>
  <c r="I282" i="6"/>
  <c r="H282" i="6"/>
  <c r="G282" i="6"/>
  <c r="F282" i="6"/>
  <c r="E282" i="6"/>
  <c r="G281" i="6"/>
  <c r="E281" i="6"/>
  <c r="I276" i="6"/>
  <c r="G276" i="6"/>
  <c r="F276" i="6"/>
  <c r="E276" i="6"/>
  <c r="I275" i="6"/>
  <c r="H275" i="6"/>
  <c r="G275" i="6"/>
  <c r="F275" i="6"/>
  <c r="E275" i="6"/>
  <c r="I270" i="6"/>
  <c r="G270" i="6"/>
  <c r="F270" i="6"/>
  <c r="E270" i="6"/>
  <c r="G265" i="6"/>
  <c r="E265" i="6"/>
  <c r="G264" i="6"/>
  <c r="E264" i="6"/>
  <c r="I259" i="6"/>
  <c r="H259" i="6"/>
  <c r="G259" i="6"/>
  <c r="F259" i="6"/>
  <c r="E259" i="6"/>
  <c r="G258" i="6"/>
  <c r="E258" i="6"/>
  <c r="G257" i="6"/>
  <c r="E257" i="6"/>
  <c r="G256" i="6"/>
  <c r="E256" i="6"/>
  <c r="I250" i="6"/>
  <c r="H250" i="6"/>
  <c r="G250" i="6"/>
  <c r="F250" i="6"/>
  <c r="E250" i="6"/>
  <c r="I249" i="6"/>
  <c r="H249" i="6"/>
  <c r="G249" i="6"/>
  <c r="F249" i="6"/>
  <c r="E249" i="6"/>
  <c r="G248" i="6"/>
  <c r="E248" i="6"/>
  <c r="G247" i="6"/>
  <c r="E247" i="6"/>
  <c r="I242" i="6"/>
  <c r="H242" i="6"/>
  <c r="G242" i="6"/>
  <c r="F242" i="6"/>
  <c r="E242" i="6"/>
  <c r="I241" i="6"/>
  <c r="H241" i="6"/>
  <c r="G241" i="6"/>
  <c r="F241" i="6"/>
  <c r="E241" i="6"/>
  <c r="G240" i="6"/>
  <c r="E240" i="6"/>
  <c r="G239" i="6"/>
  <c r="E239" i="6"/>
  <c r="I234" i="6"/>
  <c r="H234" i="6"/>
  <c r="G234" i="6"/>
  <c r="F234" i="6"/>
  <c r="E234" i="6"/>
  <c r="I233" i="6"/>
  <c r="H233" i="6"/>
  <c r="G233" i="6"/>
  <c r="F233" i="6"/>
  <c r="E233" i="6"/>
  <c r="G232" i="6"/>
  <c r="E232" i="6"/>
  <c r="G231" i="6"/>
  <c r="E231" i="6"/>
  <c r="I225" i="6"/>
  <c r="G225" i="6"/>
  <c r="F225" i="6"/>
  <c r="E225" i="6"/>
  <c r="I224" i="6"/>
  <c r="G224" i="6"/>
  <c r="F224" i="6"/>
  <c r="E224" i="6"/>
  <c r="I223" i="6"/>
  <c r="G223" i="6"/>
  <c r="F223" i="6"/>
  <c r="E223" i="6"/>
  <c r="G222" i="6"/>
  <c r="E222" i="6"/>
  <c r="I217" i="6"/>
  <c r="G217" i="6"/>
  <c r="F217" i="6"/>
  <c r="E217" i="6"/>
  <c r="I216" i="6"/>
  <c r="H216" i="6"/>
  <c r="G216" i="6"/>
  <c r="F216" i="6"/>
  <c r="E216" i="6"/>
  <c r="G215" i="6"/>
  <c r="F215" i="6"/>
  <c r="E215" i="6"/>
  <c r="I210" i="6"/>
  <c r="G210" i="6"/>
  <c r="F210" i="6"/>
  <c r="E210" i="6"/>
  <c r="I209" i="6"/>
  <c r="H209" i="6"/>
  <c r="G209" i="6"/>
  <c r="F209" i="6"/>
  <c r="E209" i="6"/>
  <c r="G208" i="6"/>
  <c r="F208" i="6"/>
  <c r="E208" i="6"/>
  <c r="I203" i="6"/>
  <c r="G203" i="6"/>
  <c r="F203" i="6"/>
  <c r="E203" i="6"/>
  <c r="I202" i="6"/>
  <c r="H202" i="6"/>
  <c r="G202" i="6"/>
  <c r="F202" i="6"/>
  <c r="E202" i="6"/>
  <c r="G201" i="6"/>
  <c r="F201" i="6"/>
  <c r="E201" i="6"/>
  <c r="G200" i="6"/>
  <c r="E200" i="6"/>
  <c r="G199" i="6"/>
  <c r="E199" i="6"/>
  <c r="I194" i="6"/>
  <c r="G194" i="6"/>
  <c r="F194" i="6"/>
  <c r="E194" i="6"/>
  <c r="I189" i="6"/>
  <c r="G189" i="6"/>
  <c r="F189" i="6"/>
  <c r="E189" i="6"/>
  <c r="I188" i="6"/>
  <c r="H188" i="6"/>
  <c r="G188" i="6"/>
  <c r="F188" i="6"/>
  <c r="E188" i="6"/>
  <c r="I183" i="6"/>
  <c r="H183" i="6"/>
  <c r="G183" i="6"/>
  <c r="F183" i="6"/>
  <c r="E183" i="6"/>
  <c r="I182" i="6"/>
  <c r="H182" i="6"/>
  <c r="G182" i="6"/>
  <c r="F182" i="6"/>
  <c r="E182" i="6"/>
  <c r="G181" i="6"/>
  <c r="F181" i="6"/>
  <c r="E181" i="6"/>
  <c r="I176" i="6"/>
  <c r="H176" i="6"/>
  <c r="G176" i="6"/>
  <c r="F176" i="6"/>
  <c r="E176" i="6"/>
  <c r="G175" i="6"/>
  <c r="F175" i="6"/>
  <c r="E175" i="6"/>
  <c r="G169" i="6"/>
  <c r="F169" i="6"/>
  <c r="E169" i="6"/>
  <c r="G168" i="6"/>
  <c r="E168" i="6"/>
  <c r="I163" i="6"/>
  <c r="G163" i="6"/>
  <c r="F163" i="6"/>
  <c r="E163" i="6"/>
  <c r="I162" i="6"/>
  <c r="G162" i="6"/>
  <c r="F162" i="6"/>
  <c r="E162" i="6"/>
  <c r="I161" i="6"/>
  <c r="G161" i="6"/>
  <c r="F161" i="6"/>
  <c r="E161" i="6"/>
  <c r="G160" i="6"/>
  <c r="E160" i="6"/>
  <c r="I155" i="6"/>
  <c r="G155" i="6"/>
  <c r="F155" i="6"/>
  <c r="E155" i="6"/>
  <c r="I154" i="6"/>
  <c r="H154" i="6"/>
  <c r="G154" i="6"/>
  <c r="F154" i="6"/>
  <c r="E154" i="6"/>
  <c r="G153" i="6"/>
  <c r="F153" i="6"/>
  <c r="E153" i="6"/>
  <c r="I148" i="6"/>
  <c r="G148" i="6"/>
  <c r="F148" i="6"/>
  <c r="E148" i="6"/>
  <c r="I147" i="6"/>
  <c r="H147" i="6"/>
  <c r="G147" i="6"/>
  <c r="F147" i="6"/>
  <c r="E147" i="6"/>
  <c r="G146" i="6"/>
  <c r="F146" i="6"/>
  <c r="E146" i="6"/>
  <c r="I141" i="6"/>
  <c r="G141" i="6"/>
  <c r="F141" i="6"/>
  <c r="E141" i="6"/>
  <c r="I140" i="6"/>
  <c r="H140" i="6"/>
  <c r="G140" i="6"/>
  <c r="F140" i="6"/>
  <c r="E140" i="6"/>
  <c r="G139" i="6"/>
  <c r="F139" i="6"/>
  <c r="E139" i="6"/>
  <c r="G138" i="6"/>
  <c r="E138" i="6"/>
  <c r="G137" i="6"/>
  <c r="E137" i="6"/>
  <c r="I132" i="6"/>
  <c r="G132" i="6"/>
  <c r="F132" i="6"/>
  <c r="E132" i="6"/>
  <c r="I127" i="6"/>
  <c r="G127" i="6"/>
  <c r="F127" i="6"/>
  <c r="E127" i="6"/>
  <c r="I126" i="6"/>
  <c r="H126" i="6"/>
  <c r="G126" i="6"/>
  <c r="F126" i="6"/>
  <c r="E126" i="6"/>
  <c r="I121" i="6"/>
  <c r="H121" i="6"/>
  <c r="G121" i="6"/>
  <c r="F121" i="6"/>
  <c r="E121" i="6"/>
  <c r="I120" i="6"/>
  <c r="H120" i="6"/>
  <c r="G120" i="6"/>
  <c r="F120" i="6"/>
  <c r="E120" i="6"/>
  <c r="G119" i="6"/>
  <c r="F119" i="6"/>
  <c r="E119" i="6"/>
  <c r="I114" i="6"/>
  <c r="H114" i="6"/>
  <c r="G114" i="6"/>
  <c r="F114" i="6"/>
  <c r="E114" i="6"/>
  <c r="G113" i="6"/>
  <c r="F113" i="6"/>
  <c r="E113" i="6"/>
  <c r="I107" i="6"/>
  <c r="H107" i="6"/>
  <c r="G107" i="6"/>
  <c r="F107" i="6"/>
  <c r="E107" i="6"/>
  <c r="I106" i="6"/>
  <c r="H106" i="6"/>
  <c r="G106" i="6"/>
  <c r="F106" i="6"/>
  <c r="E106" i="6"/>
  <c r="I101" i="6"/>
  <c r="H101" i="6"/>
  <c r="G101" i="6"/>
  <c r="F101" i="6"/>
  <c r="E101" i="6"/>
  <c r="I100" i="6"/>
  <c r="H100" i="6"/>
  <c r="G100" i="6"/>
  <c r="F100" i="6"/>
  <c r="E100" i="6"/>
  <c r="I99" i="6"/>
  <c r="G99" i="6"/>
  <c r="F99" i="6"/>
  <c r="E99" i="6"/>
  <c r="I94" i="6"/>
  <c r="H94" i="6"/>
  <c r="G94" i="6"/>
  <c r="F94" i="6"/>
  <c r="E94" i="6"/>
  <c r="I93" i="6"/>
  <c r="H93" i="6"/>
  <c r="G93" i="6"/>
  <c r="F93" i="6"/>
  <c r="E93" i="6"/>
  <c r="I92" i="6"/>
  <c r="H92" i="6"/>
  <c r="G92" i="6"/>
  <c r="F92" i="6"/>
  <c r="E92" i="6"/>
  <c r="I87" i="6"/>
  <c r="H87" i="6"/>
  <c r="G87" i="6"/>
  <c r="F87" i="6"/>
  <c r="E87" i="6"/>
  <c r="I86" i="6"/>
  <c r="H86" i="6"/>
  <c r="G86" i="6"/>
  <c r="F86" i="6"/>
  <c r="E86" i="6"/>
  <c r="I81" i="6"/>
  <c r="H81" i="6"/>
  <c r="G81" i="6"/>
  <c r="F81" i="6"/>
  <c r="E81" i="6"/>
  <c r="I80" i="6"/>
  <c r="H80" i="6"/>
  <c r="G80" i="6"/>
  <c r="F80" i="6"/>
  <c r="E80" i="6"/>
  <c r="I79" i="6"/>
  <c r="G79" i="6"/>
  <c r="F79" i="6"/>
  <c r="E79" i="6"/>
  <c r="I74" i="6"/>
  <c r="H74" i="6"/>
  <c r="G74" i="6"/>
  <c r="F74" i="6"/>
  <c r="E74" i="6"/>
  <c r="J73" i="6"/>
  <c r="I73" i="6"/>
  <c r="H73" i="6"/>
  <c r="G73" i="6"/>
  <c r="F73" i="6"/>
  <c r="E73" i="6"/>
  <c r="I72" i="6"/>
  <c r="H72" i="6"/>
  <c r="G72" i="6"/>
  <c r="F72" i="6"/>
  <c r="E72" i="6"/>
  <c r="I67" i="6"/>
  <c r="H67" i="6"/>
  <c r="G67" i="6"/>
  <c r="F67" i="6"/>
  <c r="E67" i="6"/>
  <c r="J66" i="6"/>
  <c r="I66" i="6"/>
  <c r="H66" i="6"/>
  <c r="G66" i="6"/>
  <c r="F66" i="6"/>
  <c r="E66" i="6"/>
  <c r="I61" i="6"/>
  <c r="H61" i="6"/>
  <c r="G61" i="6"/>
  <c r="F61" i="6"/>
  <c r="E61" i="6"/>
  <c r="I60" i="6"/>
  <c r="H60" i="6"/>
  <c r="G60" i="6"/>
  <c r="F60" i="6"/>
  <c r="E60" i="6"/>
  <c r="I59" i="6"/>
  <c r="G59" i="6"/>
  <c r="F59" i="6"/>
  <c r="E59" i="6"/>
  <c r="I54" i="6"/>
  <c r="H54" i="6"/>
  <c r="G54" i="6"/>
  <c r="F54" i="6"/>
  <c r="E54" i="6"/>
  <c r="J53" i="6"/>
  <c r="I53" i="6"/>
  <c r="H53" i="6"/>
  <c r="G53" i="6"/>
  <c r="F53" i="6"/>
  <c r="E53" i="6"/>
  <c r="I52" i="6"/>
  <c r="H52" i="6"/>
  <c r="G52" i="6"/>
  <c r="F52" i="6"/>
  <c r="E52" i="6"/>
  <c r="I47" i="6"/>
  <c r="H47" i="6"/>
  <c r="G47" i="6"/>
  <c r="F47" i="6"/>
  <c r="E47" i="6"/>
  <c r="J46" i="6"/>
  <c r="I46" i="6"/>
  <c r="H46" i="6"/>
  <c r="G46" i="6"/>
  <c r="F46" i="6"/>
  <c r="E46" i="6"/>
  <c r="I41" i="6"/>
  <c r="H41" i="6"/>
  <c r="G41" i="6"/>
  <c r="F41" i="6"/>
  <c r="E41" i="6"/>
  <c r="J40" i="6"/>
  <c r="I40" i="6"/>
  <c r="H40" i="6"/>
  <c r="G40" i="6"/>
  <c r="F40" i="6"/>
  <c r="E40" i="6"/>
  <c r="I39" i="6"/>
  <c r="G39" i="6"/>
  <c r="F39" i="6"/>
  <c r="E39" i="6"/>
  <c r="I34" i="6"/>
  <c r="H34" i="6"/>
  <c r="G34" i="6"/>
  <c r="F34" i="6"/>
  <c r="E34" i="6"/>
  <c r="I33" i="6"/>
  <c r="H33" i="6"/>
  <c r="G33" i="6"/>
  <c r="F33" i="6"/>
  <c r="E33" i="6"/>
  <c r="I32" i="6"/>
  <c r="H32" i="6"/>
  <c r="G32" i="6"/>
  <c r="F32" i="6"/>
  <c r="E32" i="6"/>
  <c r="K28" i="6"/>
  <c r="K46" i="6" s="1"/>
  <c r="J28" i="6"/>
  <c r="J23" i="6"/>
  <c r="J24" i="6" s="1"/>
  <c r="I23" i="6"/>
  <c r="H23" i="6"/>
  <c r="G23" i="6"/>
  <c r="F23" i="6"/>
  <c r="E23" i="6"/>
  <c r="I18" i="6"/>
  <c r="H18" i="6"/>
  <c r="G18" i="6"/>
  <c r="F18" i="6"/>
  <c r="E18" i="6"/>
  <c r="G17" i="6"/>
  <c r="F17" i="6"/>
  <c r="E17" i="6"/>
  <c r="I11" i="6"/>
  <c r="H11" i="6"/>
  <c r="G11" i="6"/>
  <c r="F11" i="6"/>
  <c r="E11" i="6"/>
  <c r="G10" i="6"/>
  <c r="F10" i="6"/>
  <c r="E10" i="6"/>
  <c r="G9" i="6"/>
  <c r="F9" i="6"/>
  <c r="E9" i="6"/>
  <c r="K4" i="6"/>
  <c r="J4" i="6"/>
  <c r="F1" i="6"/>
  <c r="A1" i="6"/>
  <c r="F1" i="5"/>
  <c r="A1" i="5"/>
  <c r="F1" i="4"/>
  <c r="F96" i="3"/>
  <c r="F289" i="6" s="1"/>
  <c r="F93" i="3"/>
  <c r="F92" i="3"/>
  <c r="F52" i="20" s="1"/>
  <c r="F91" i="3"/>
  <c r="F31" i="20" s="1"/>
  <c r="F90" i="3"/>
  <c r="F45" i="20" s="1"/>
  <c r="F87" i="3"/>
  <c r="F42" i="19" s="1"/>
  <c r="F44" i="19" s="1"/>
  <c r="F35" i="19" s="1"/>
  <c r="F86" i="3"/>
  <c r="F85" i="3"/>
  <c r="F10" i="14" s="1"/>
  <c r="F84" i="3"/>
  <c r="F83" i="3"/>
  <c r="F80" i="3"/>
  <c r="F9" i="18" s="1"/>
  <c r="I15" i="18" s="1"/>
  <c r="F79" i="3"/>
  <c r="F78" i="3"/>
  <c r="F26" i="18" s="1"/>
  <c r="F77" i="3"/>
  <c r="F52" i="18" s="1"/>
  <c r="F72" i="3"/>
  <c r="F19" i="17" s="1"/>
  <c r="F70" i="3"/>
  <c r="F9" i="17" s="1"/>
  <c r="F68" i="3"/>
  <c r="F232" i="6" s="1"/>
  <c r="F65" i="3"/>
  <c r="F9" i="16" s="1"/>
  <c r="F64" i="3"/>
  <c r="F58" i="3"/>
  <c r="F57" i="3"/>
  <c r="F54" i="3"/>
  <c r="F34" i="9" s="1"/>
  <c r="F53" i="3"/>
  <c r="F26" i="15" s="1"/>
  <c r="F52" i="3"/>
  <c r="F39" i="15" s="1"/>
  <c r="F51" i="3"/>
  <c r="F18" i="13" s="1"/>
  <c r="I24" i="13" s="1"/>
  <c r="F50" i="3"/>
  <c r="F22" i="11" s="1"/>
  <c r="F49" i="3"/>
  <c r="F48" i="3"/>
  <c r="F9" i="21" s="1"/>
  <c r="F47" i="3"/>
  <c r="F27" i="13" s="1"/>
  <c r="F46" i="3"/>
  <c r="F27" i="19" s="1"/>
  <c r="F43" i="3"/>
  <c r="F68" i="12" s="1"/>
  <c r="I73" i="12" s="1"/>
  <c r="F42" i="3"/>
  <c r="F41" i="3"/>
  <c r="F45" i="12" s="1"/>
  <c r="F40" i="3"/>
  <c r="F39" i="3"/>
  <c r="F81" i="12" s="1"/>
  <c r="I85" i="12" s="1"/>
  <c r="F36" i="3"/>
  <c r="F23" i="12" s="1"/>
  <c r="F35" i="3"/>
  <c r="F34" i="3"/>
  <c r="F32" i="3"/>
  <c r="F22" i="12" s="1"/>
  <c r="F29" i="3"/>
  <c r="F28" i="3"/>
  <c r="F200" i="6" s="1"/>
  <c r="F27" i="3"/>
  <c r="F26" i="3"/>
  <c r="F17" i="14" s="1"/>
  <c r="F23" i="3"/>
  <c r="F9" i="11" s="1"/>
  <c r="F22" i="3"/>
  <c r="F21" i="3"/>
  <c r="F20" i="3"/>
  <c r="F19" i="3"/>
  <c r="F18" i="10" s="1"/>
  <c r="F18" i="3"/>
  <c r="F138" i="6" s="1"/>
  <c r="F16" i="3"/>
  <c r="F9" i="10" s="1"/>
  <c r="F15" i="3"/>
  <c r="F12" i="3"/>
  <c r="F6" i="3"/>
  <c r="I6" i="3" s="1"/>
  <c r="F3" i="3"/>
  <c r="F1" i="3"/>
  <c r="B106" i="2"/>
  <c r="A105" i="2"/>
  <c r="A103" i="2"/>
  <c r="B101" i="2"/>
  <c r="B100" i="2"/>
  <c r="A99" i="2"/>
  <c r="A97" i="2"/>
  <c r="A95" i="2"/>
  <c r="A93" i="2"/>
  <c r="A91" i="2"/>
  <c r="A89" i="2"/>
  <c r="A87" i="2"/>
  <c r="A85" i="2"/>
  <c r="A83" i="2"/>
  <c r="A81" i="2"/>
  <c r="A79" i="2"/>
  <c r="A77" i="2"/>
  <c r="A75" i="2"/>
  <c r="B73" i="2"/>
  <c r="B72" i="2"/>
  <c r="B71" i="2"/>
  <c r="B70" i="2"/>
  <c r="B69" i="2"/>
  <c r="B68" i="2"/>
  <c r="B67" i="2"/>
  <c r="A66" i="2"/>
  <c r="B64" i="2"/>
  <c r="B63" i="2"/>
  <c r="B62" i="2"/>
  <c r="B61" i="2"/>
  <c r="C60" i="2"/>
  <c r="C59" i="2"/>
  <c r="C58" i="2"/>
  <c r="B57" i="2"/>
  <c r="B56" i="2"/>
  <c r="B55" i="2"/>
  <c r="B54" i="2"/>
  <c r="B53" i="2"/>
  <c r="B52" i="2"/>
  <c r="B51" i="2"/>
  <c r="A50" i="2"/>
  <c r="A48" i="2"/>
  <c r="A44" i="2"/>
  <c r="A42" i="2"/>
  <c r="A40" i="2"/>
  <c r="A38" i="2"/>
  <c r="A36" i="2"/>
  <c r="A34" i="2"/>
  <c r="A32" i="2"/>
  <c r="A30" i="2"/>
  <c r="A28" i="2"/>
  <c r="A26" i="2"/>
  <c r="A24" i="2"/>
  <c r="A22" i="2"/>
  <c r="A20" i="2"/>
  <c r="A18" i="2"/>
  <c r="A16" i="2"/>
  <c r="A14" i="2"/>
  <c r="A12" i="2"/>
  <c r="A10" i="2"/>
  <c r="A8" i="2"/>
  <c r="A6" i="2"/>
  <c r="A1" i="2"/>
  <c r="C23" i="47" l="1"/>
  <c r="K6" i="49"/>
  <c r="S6" i="49"/>
  <c r="AA6" i="49"/>
  <c r="AK45" i="51"/>
  <c r="L6" i="49"/>
  <c r="T6" i="49"/>
  <c r="AB6" i="49"/>
  <c r="E6" i="49"/>
  <c r="M6" i="49"/>
  <c r="U6" i="49"/>
  <c r="U21" i="51"/>
  <c r="AC21" i="51"/>
  <c r="BA21" i="51"/>
  <c r="BI21" i="51"/>
  <c r="G6" i="49"/>
  <c r="O6" i="49"/>
  <c r="W6" i="49"/>
  <c r="H6" i="49"/>
  <c r="P6" i="49"/>
  <c r="X6" i="49"/>
  <c r="AF21" i="51"/>
  <c r="J3" i="40"/>
  <c r="J3" i="4"/>
  <c r="J3" i="37"/>
  <c r="J3" i="34"/>
  <c r="J3" i="31"/>
  <c r="J3" i="22"/>
  <c r="J3" i="28"/>
  <c r="J3" i="21"/>
  <c r="J3" i="20"/>
  <c r="J3" i="19"/>
  <c r="J3" i="16"/>
  <c r="J3" i="17"/>
  <c r="J3" i="18"/>
  <c r="J3" i="15"/>
  <c r="J3" i="14"/>
  <c r="J3" i="13"/>
  <c r="J3" i="12"/>
  <c r="J3" i="11"/>
  <c r="J3" i="10"/>
  <c r="J3" i="9"/>
  <c r="J3" i="7"/>
  <c r="J3" i="8"/>
  <c r="J99" i="6"/>
  <c r="J79" i="6"/>
  <c r="J59" i="6"/>
  <c r="J3" i="6"/>
  <c r="J39" i="6"/>
  <c r="F15" i="19"/>
  <c r="F9" i="15"/>
  <c r="F9" i="14"/>
  <c r="F9" i="12"/>
  <c r="F15" i="12"/>
  <c r="F40" i="10"/>
  <c r="F26" i="17"/>
  <c r="J28" i="17" s="1"/>
  <c r="F10" i="15"/>
  <c r="F37" i="12"/>
  <c r="K11" i="6"/>
  <c r="K33" i="6"/>
  <c r="I79" i="3"/>
  <c r="F19" i="18"/>
  <c r="K60" i="6"/>
  <c r="I57" i="3"/>
  <c r="F54" i="18"/>
  <c r="F55" i="18" s="1"/>
  <c r="F39" i="18" s="1"/>
  <c r="F54" i="17"/>
  <c r="F53" i="16"/>
  <c r="F53" i="18"/>
  <c r="F52" i="16"/>
  <c r="F53" i="17"/>
  <c r="F55" i="17" s="1"/>
  <c r="F39" i="17" s="1"/>
  <c r="K23" i="6"/>
  <c r="K24" i="6" s="1"/>
  <c r="I18" i="33"/>
  <c r="I18" i="31"/>
  <c r="I18" i="32"/>
  <c r="I18" i="24"/>
  <c r="J11" i="18"/>
  <c r="I19" i="39"/>
  <c r="I19" i="38"/>
  <c r="I19" i="37"/>
  <c r="I19" i="26"/>
  <c r="J83" i="12"/>
  <c r="I93" i="3"/>
  <c r="F73" i="20"/>
  <c r="I15" i="3"/>
  <c r="F33" i="10"/>
  <c r="F18" i="18"/>
  <c r="F18" i="17"/>
  <c r="F11" i="15"/>
  <c r="F32" i="13"/>
  <c r="F22" i="13"/>
  <c r="F9" i="13"/>
  <c r="F16" i="9"/>
  <c r="F168" i="6"/>
  <c r="F170" i="6" s="1"/>
  <c r="F10" i="10" s="1"/>
  <c r="F160" i="6"/>
  <c r="I27" i="3"/>
  <c r="F222" i="6"/>
  <c r="I49" i="3"/>
  <c r="F9" i="9"/>
  <c r="I13" i="9" s="1"/>
  <c r="F257" i="6"/>
  <c r="F265" i="6"/>
  <c r="I40" i="3"/>
  <c r="F10" i="13"/>
  <c r="I62" i="3"/>
  <c r="F240" i="6"/>
  <c r="I84" i="3"/>
  <c r="F281" i="6"/>
  <c r="J4" i="4"/>
  <c r="J4" i="40"/>
  <c r="J4" i="37"/>
  <c r="J4" i="34"/>
  <c r="J4" i="31"/>
  <c r="J4" i="22"/>
  <c r="J4" i="21"/>
  <c r="J4" i="28"/>
  <c r="J10" i="21"/>
  <c r="J74" i="20"/>
  <c r="J4" i="20"/>
  <c r="J28" i="19"/>
  <c r="J32" i="20"/>
  <c r="J36" i="20" s="1"/>
  <c r="K33" i="20" s="1"/>
  <c r="K26" i="20" s="1"/>
  <c r="J37" i="19"/>
  <c r="J4" i="19"/>
  <c r="J4" i="18"/>
  <c r="J4" i="17"/>
  <c r="J10" i="16"/>
  <c r="J10" i="17"/>
  <c r="J10" i="18"/>
  <c r="J4" i="16"/>
  <c r="J40" i="15"/>
  <c r="J4" i="15"/>
  <c r="J27" i="15"/>
  <c r="J19" i="13"/>
  <c r="J69" i="12"/>
  <c r="J4" i="13"/>
  <c r="J59" i="12"/>
  <c r="J28" i="13"/>
  <c r="J82" i="12"/>
  <c r="J4" i="14"/>
  <c r="J4" i="12"/>
  <c r="J46" i="12"/>
  <c r="J18" i="12"/>
  <c r="J4" i="10"/>
  <c r="J4" i="9"/>
  <c r="J35" i="9"/>
  <c r="J19" i="10"/>
  <c r="J23" i="11"/>
  <c r="J4" i="11"/>
  <c r="J10" i="9"/>
  <c r="J331" i="6"/>
  <c r="J332" i="6" s="1"/>
  <c r="J12" i="10"/>
  <c r="J336" i="6"/>
  <c r="J337" i="6" s="1"/>
  <c r="J320" i="6"/>
  <c r="J296" i="6"/>
  <c r="J297" i="6" s="1"/>
  <c r="J4" i="7"/>
  <c r="J259" i="6"/>
  <c r="J275" i="6"/>
  <c r="J4" i="8"/>
  <c r="J346" i="6"/>
  <c r="J347" i="6" s="1"/>
  <c r="J301" i="6"/>
  <c r="J302" i="6" s="1"/>
  <c r="J351" i="6"/>
  <c r="J352" i="6" s="1"/>
  <c r="J312" i="6"/>
  <c r="J314" i="6" s="1"/>
  <c r="J93" i="6"/>
  <c r="J202" i="6"/>
  <c r="J126" i="6"/>
  <c r="J100" i="6"/>
  <c r="J106" i="6"/>
  <c r="J60" i="6"/>
  <c r="J188" i="6"/>
  <c r="J80" i="6"/>
  <c r="J140" i="6"/>
  <c r="J86" i="6"/>
  <c r="J33" i="6"/>
  <c r="J11" i="6"/>
  <c r="J12" i="6" s="1"/>
  <c r="I8" i="33"/>
  <c r="I8" i="32"/>
  <c r="I8" i="31"/>
  <c r="I8" i="24"/>
  <c r="J20" i="13"/>
  <c r="J11" i="13" s="1"/>
  <c r="I75" i="3"/>
  <c r="F248" i="6"/>
  <c r="K4" i="4"/>
  <c r="K4" i="40"/>
  <c r="K4" i="37"/>
  <c r="K4" i="34"/>
  <c r="K4" i="28"/>
  <c r="K4" i="31"/>
  <c r="K4" i="22"/>
  <c r="K74" i="20"/>
  <c r="K10" i="21"/>
  <c r="K4" i="21"/>
  <c r="K32" i="20"/>
  <c r="K4" i="20"/>
  <c r="K10" i="18"/>
  <c r="K28" i="19"/>
  <c r="K4" i="19"/>
  <c r="K4" i="18"/>
  <c r="K10" i="17"/>
  <c r="K4" i="15"/>
  <c r="K28" i="17"/>
  <c r="K4" i="17"/>
  <c r="K4" i="16"/>
  <c r="K27" i="15"/>
  <c r="K4" i="14"/>
  <c r="K10" i="16"/>
  <c r="K40" i="15"/>
  <c r="K28" i="13"/>
  <c r="K19" i="13"/>
  <c r="K4" i="13"/>
  <c r="K59" i="12"/>
  <c r="K82" i="12"/>
  <c r="K46" i="12"/>
  <c r="K18" i="12"/>
  <c r="K69" i="12"/>
  <c r="K4" i="12"/>
  <c r="K35" i="9"/>
  <c r="K4" i="8"/>
  <c r="K19" i="10"/>
  <c r="K23" i="11"/>
  <c r="K4" i="11"/>
  <c r="K346" i="6"/>
  <c r="K347" i="6" s="1"/>
  <c r="K12" i="10"/>
  <c r="K4" i="10"/>
  <c r="K4" i="9"/>
  <c r="K4" i="7"/>
  <c r="K351" i="6"/>
  <c r="K352" i="6" s="1"/>
  <c r="K10" i="9"/>
  <c r="K320" i="6"/>
  <c r="K296" i="6"/>
  <c r="K259" i="6"/>
  <c r="K275" i="6"/>
  <c r="K301" i="6"/>
  <c r="K302" i="6" s="1"/>
  <c r="K331" i="6"/>
  <c r="K332" i="6" s="1"/>
  <c r="K312" i="6"/>
  <c r="K336" i="6"/>
  <c r="K337" i="6" s="1"/>
  <c r="K188" i="6"/>
  <c r="K202" i="6"/>
  <c r="K126" i="6"/>
  <c r="K100" i="6"/>
  <c r="K106" i="6"/>
  <c r="K66" i="6"/>
  <c r="K80" i="6"/>
  <c r="K140" i="6"/>
  <c r="K86" i="6"/>
  <c r="K93" i="6"/>
  <c r="K40" i="6"/>
  <c r="L28" i="6"/>
  <c r="I29" i="3"/>
  <c r="F24" i="14"/>
  <c r="I20" i="3"/>
  <c r="F25" i="16"/>
  <c r="K27" i="16" s="1"/>
  <c r="F19" i="15"/>
  <c r="K22" i="15" s="1"/>
  <c r="I42" i="3"/>
  <c r="F58" i="12"/>
  <c r="I65" i="12" s="1"/>
  <c r="I64" i="3"/>
  <c r="F51" i="16"/>
  <c r="F54" i="16" s="1"/>
  <c r="F38" i="16" s="1"/>
  <c r="M2" i="3"/>
  <c r="L2" i="3"/>
  <c r="K2" i="3"/>
  <c r="F10" i="11"/>
  <c r="F39" i="10"/>
  <c r="F16" i="11"/>
  <c r="I17" i="37"/>
  <c r="I17" i="38"/>
  <c r="I17" i="39"/>
  <c r="I17" i="26"/>
  <c r="J70" i="12"/>
  <c r="I17" i="11"/>
  <c r="K53" i="6"/>
  <c r="K73" i="6"/>
  <c r="I38" i="9"/>
  <c r="I24" i="10"/>
  <c r="I27" i="11"/>
  <c r="I50" i="12"/>
  <c r="G13" i="30"/>
  <c r="G13" i="28"/>
  <c r="G13" i="29"/>
  <c r="G13" i="23"/>
  <c r="I45" i="15"/>
  <c r="I33" i="13"/>
  <c r="J29" i="13" s="1"/>
  <c r="E9" i="33"/>
  <c r="E9" i="31"/>
  <c r="E9" i="32"/>
  <c r="E9" i="24"/>
  <c r="G9" i="33"/>
  <c r="G9" i="32"/>
  <c r="G9" i="31"/>
  <c r="G9" i="24"/>
  <c r="I36" i="15"/>
  <c r="E13" i="30"/>
  <c r="E13" i="29"/>
  <c r="E13" i="28"/>
  <c r="E13" i="23"/>
  <c r="E9" i="36"/>
  <c r="E9" i="35"/>
  <c r="E9" i="34"/>
  <c r="E9" i="25"/>
  <c r="I15" i="16"/>
  <c r="G9" i="36"/>
  <c r="G9" i="35"/>
  <c r="G9" i="34"/>
  <c r="G9" i="25"/>
  <c r="E10" i="28"/>
  <c r="E10" i="30"/>
  <c r="E10" i="29"/>
  <c r="E10" i="23"/>
  <c r="E9" i="30"/>
  <c r="E9" i="29"/>
  <c r="E9" i="28"/>
  <c r="E9" i="23"/>
  <c r="G10" i="29"/>
  <c r="G10" i="28"/>
  <c r="G10" i="30"/>
  <c r="G10" i="23"/>
  <c r="G9" i="30"/>
  <c r="G9" i="29"/>
  <c r="G9" i="28"/>
  <c r="G9" i="23"/>
  <c r="E14" i="36"/>
  <c r="E14" i="35"/>
  <c r="E14" i="34"/>
  <c r="E14" i="25"/>
  <c r="G14" i="36"/>
  <c r="G14" i="35"/>
  <c r="G14" i="34"/>
  <c r="G14" i="25"/>
  <c r="I15" i="17"/>
  <c r="G20" i="36"/>
  <c r="G20" i="35"/>
  <c r="G20" i="34"/>
  <c r="G20" i="25"/>
  <c r="G18" i="36"/>
  <c r="G18" i="35"/>
  <c r="G18" i="34"/>
  <c r="G18" i="25"/>
  <c r="E16" i="30"/>
  <c r="E16" i="29"/>
  <c r="E16" i="28"/>
  <c r="E16" i="23"/>
  <c r="E23" i="36"/>
  <c r="E23" i="34"/>
  <c r="E23" i="35"/>
  <c r="E23" i="25"/>
  <c r="G16" i="30"/>
  <c r="G16" i="29"/>
  <c r="G16" i="28"/>
  <c r="G16" i="23"/>
  <c r="G23" i="36"/>
  <c r="G23" i="35"/>
  <c r="G23" i="34"/>
  <c r="G23" i="25"/>
  <c r="I32" i="19"/>
  <c r="E24" i="36"/>
  <c r="E24" i="35"/>
  <c r="E24" i="34"/>
  <c r="E24" i="25"/>
  <c r="G22" i="35"/>
  <c r="G22" i="36"/>
  <c r="G22" i="34"/>
  <c r="G22" i="25"/>
  <c r="G24" i="36"/>
  <c r="G24" i="35"/>
  <c r="G24" i="34"/>
  <c r="G24" i="25"/>
  <c r="E17" i="29"/>
  <c r="E17" i="30"/>
  <c r="E17" i="28"/>
  <c r="E17" i="23"/>
  <c r="E20" i="36"/>
  <c r="E20" i="35"/>
  <c r="E20" i="34"/>
  <c r="E20" i="25"/>
  <c r="G17" i="30"/>
  <c r="G17" i="28"/>
  <c r="G17" i="29"/>
  <c r="G17" i="23"/>
  <c r="E18" i="36"/>
  <c r="E18" i="35"/>
  <c r="E18" i="34"/>
  <c r="E18" i="25"/>
  <c r="E25" i="36"/>
  <c r="E25" i="35"/>
  <c r="E25" i="34"/>
  <c r="E25" i="25"/>
  <c r="G25" i="36"/>
  <c r="G25" i="35"/>
  <c r="G25" i="34"/>
  <c r="G25" i="25"/>
  <c r="G18" i="30"/>
  <c r="G18" i="28"/>
  <c r="G18" i="29"/>
  <c r="G18" i="23"/>
  <c r="E22" i="36"/>
  <c r="E22" i="35"/>
  <c r="E22" i="34"/>
  <c r="E22" i="25"/>
  <c r="G10" i="36"/>
  <c r="G10" i="35"/>
  <c r="G10" i="34"/>
  <c r="G10" i="25"/>
  <c r="E18" i="30"/>
  <c r="E18" i="29"/>
  <c r="E18" i="28"/>
  <c r="E18" i="23"/>
  <c r="I78" i="20"/>
  <c r="E10" i="36"/>
  <c r="E10" i="35"/>
  <c r="E10" i="34"/>
  <c r="E10" i="25"/>
  <c r="E21" i="30"/>
  <c r="E21" i="28"/>
  <c r="E21" i="29"/>
  <c r="E21" i="23"/>
  <c r="I13" i="21"/>
  <c r="G11" i="36"/>
  <c r="G11" i="35"/>
  <c r="G11" i="34"/>
  <c r="G11" i="25"/>
  <c r="G21" i="30"/>
  <c r="G21" i="29"/>
  <c r="G21" i="23"/>
  <c r="G21" i="28"/>
  <c r="E11" i="36"/>
  <c r="E11" i="34"/>
  <c r="E11" i="35"/>
  <c r="E11" i="25"/>
  <c r="I86" i="3"/>
  <c r="K13" i="44"/>
  <c r="K12" i="44"/>
  <c r="I17" i="3"/>
  <c r="I32" i="3"/>
  <c r="I50" i="3"/>
  <c r="I69" i="3"/>
  <c r="I85" i="3"/>
  <c r="K10" i="44"/>
  <c r="I18" i="3"/>
  <c r="I35" i="3"/>
  <c r="I51" i="3"/>
  <c r="I71" i="3"/>
  <c r="I92" i="3"/>
  <c r="I80" i="3"/>
  <c r="I70" i="3"/>
  <c r="I58" i="3"/>
  <c r="I48" i="3"/>
  <c r="I36" i="3"/>
  <c r="I26" i="3"/>
  <c r="I16" i="3"/>
  <c r="I90" i="3"/>
  <c r="I78" i="3"/>
  <c r="I68" i="3"/>
  <c r="I54" i="3"/>
  <c r="I46" i="3"/>
  <c r="I34" i="3"/>
  <c r="I22" i="3"/>
  <c r="I13" i="3"/>
  <c r="I87" i="3"/>
  <c r="I77" i="3"/>
  <c r="I65" i="3"/>
  <c r="I53" i="3"/>
  <c r="I43" i="3"/>
  <c r="I33" i="3"/>
  <c r="I21" i="3"/>
  <c r="I12" i="3"/>
  <c r="I19" i="3"/>
  <c r="I39" i="3"/>
  <c r="I52" i="3"/>
  <c r="I72" i="3"/>
  <c r="I91" i="3"/>
  <c r="I23" i="3"/>
  <c r="I41" i="3"/>
  <c r="I61" i="3"/>
  <c r="I76" i="3"/>
  <c r="I96" i="3"/>
  <c r="I28" i="3"/>
  <c r="I47" i="3"/>
  <c r="I63" i="3"/>
  <c r="I83" i="3"/>
  <c r="F7" i="3" l="1"/>
  <c r="K8" i="34"/>
  <c r="E47" i="51" s="1"/>
  <c r="K44" i="15"/>
  <c r="K14" i="16"/>
  <c r="K28" i="16"/>
  <c r="K20" i="34" s="1"/>
  <c r="E59" i="51" s="1"/>
  <c r="I25" i="33"/>
  <c r="I25" i="32"/>
  <c r="I25" i="31"/>
  <c r="I25" i="24"/>
  <c r="J36" i="9"/>
  <c r="I28" i="9"/>
  <c r="K74" i="6"/>
  <c r="K81" i="6"/>
  <c r="K87" i="6"/>
  <c r="I26" i="31"/>
  <c r="I26" i="32"/>
  <c r="I26" i="33"/>
  <c r="I26" i="24"/>
  <c r="J11" i="21"/>
  <c r="I29" i="9"/>
  <c r="I20" i="33"/>
  <c r="I20" i="32"/>
  <c r="I20" i="31"/>
  <c r="I20" i="24"/>
  <c r="J75" i="20"/>
  <c r="J66" i="20" s="1"/>
  <c r="K47" i="6"/>
  <c r="K41" i="6"/>
  <c r="K34" i="6"/>
  <c r="J38" i="19"/>
  <c r="J31" i="19"/>
  <c r="K35" i="10"/>
  <c r="J35" i="10"/>
  <c r="L35" i="10"/>
  <c r="L4" i="4"/>
  <c r="L4" i="40"/>
  <c r="L4" i="37"/>
  <c r="L4" i="34"/>
  <c r="L4" i="31"/>
  <c r="L4" i="28"/>
  <c r="L4" i="22"/>
  <c r="L10" i="21"/>
  <c r="L74" i="20"/>
  <c r="L4" i="21"/>
  <c r="L32" i="20"/>
  <c r="L28" i="19"/>
  <c r="L4" i="19"/>
  <c r="L4" i="20"/>
  <c r="L4" i="18"/>
  <c r="L10" i="18"/>
  <c r="L28" i="17"/>
  <c r="L10" i="17"/>
  <c r="L27" i="15"/>
  <c r="L4" i="17"/>
  <c r="L40" i="15"/>
  <c r="L4" i="15"/>
  <c r="L4" i="16"/>
  <c r="L4" i="14"/>
  <c r="L10" i="16"/>
  <c r="L4" i="13"/>
  <c r="L28" i="13"/>
  <c r="L82" i="12"/>
  <c r="L19" i="13"/>
  <c r="L46" i="12"/>
  <c r="L23" i="11"/>
  <c r="L59" i="12"/>
  <c r="L18" i="12"/>
  <c r="L69" i="12"/>
  <c r="L4" i="12"/>
  <c r="L19" i="10"/>
  <c r="L4" i="11"/>
  <c r="L12" i="10"/>
  <c r="L4" i="10"/>
  <c r="L35" i="9"/>
  <c r="L4" i="8"/>
  <c r="L320" i="6"/>
  <c r="L259" i="6"/>
  <c r="L4" i="7"/>
  <c r="L275" i="6"/>
  <c r="L301" i="6"/>
  <c r="L302" i="6" s="1"/>
  <c r="L346" i="6"/>
  <c r="L347" i="6" s="1"/>
  <c r="L351" i="6"/>
  <c r="L352" i="6" s="1"/>
  <c r="L202" i="6"/>
  <c r="L4" i="9"/>
  <c r="L331" i="6"/>
  <c r="L332" i="6" s="1"/>
  <c r="L312" i="6"/>
  <c r="L336" i="6"/>
  <c r="L337" i="6" s="1"/>
  <c r="L10" i="9"/>
  <c r="L296" i="6"/>
  <c r="L297" i="6" s="1"/>
  <c r="L106" i="6"/>
  <c r="L73" i="6"/>
  <c r="L80" i="6"/>
  <c r="L188" i="6"/>
  <c r="L140" i="6"/>
  <c r="L86" i="6"/>
  <c r="L93" i="6"/>
  <c r="L126" i="6"/>
  <c r="L100" i="6"/>
  <c r="L46" i="6"/>
  <c r="M28" i="6"/>
  <c r="L66" i="6"/>
  <c r="L23" i="6"/>
  <c r="L24" i="6" s="1"/>
  <c r="L40" i="6"/>
  <c r="L60" i="6"/>
  <c r="L4" i="6"/>
  <c r="L33" i="6"/>
  <c r="L11" i="6"/>
  <c r="L53" i="6"/>
  <c r="K14" i="17"/>
  <c r="K29" i="17"/>
  <c r="K18" i="34" s="1"/>
  <c r="E57" i="51" s="1"/>
  <c r="J53" i="20"/>
  <c r="J54" i="20" s="1"/>
  <c r="J58" i="20" s="1"/>
  <c r="J59" i="20"/>
  <c r="J283" i="6"/>
  <c r="J250" i="6"/>
  <c r="J242" i="6"/>
  <c r="J290" i="6"/>
  <c r="J291" i="6" s="1"/>
  <c r="J234" i="6"/>
  <c r="J183" i="6"/>
  <c r="J121" i="6"/>
  <c r="J18" i="6"/>
  <c r="J19" i="6" s="1"/>
  <c r="J14" i="37"/>
  <c r="J64" i="12"/>
  <c r="J72" i="12"/>
  <c r="J76" i="12"/>
  <c r="J77" i="12" s="1"/>
  <c r="J14" i="17"/>
  <c r="J29" i="17"/>
  <c r="J13" i="21"/>
  <c r="I16" i="33"/>
  <c r="I16" i="32"/>
  <c r="I16" i="31"/>
  <c r="I16" i="24"/>
  <c r="J11" i="17"/>
  <c r="J40" i="17" s="1"/>
  <c r="I17" i="32"/>
  <c r="I17" i="33"/>
  <c r="I17" i="31"/>
  <c r="I17" i="24"/>
  <c r="J11" i="16"/>
  <c r="J39" i="16" s="1"/>
  <c r="J40" i="16" s="1"/>
  <c r="J27" i="16"/>
  <c r="J41" i="17"/>
  <c r="J27" i="18"/>
  <c r="J28" i="18" s="1"/>
  <c r="J40" i="18"/>
  <c r="J41" i="18" s="1"/>
  <c r="I12" i="38"/>
  <c r="I12" i="37"/>
  <c r="I12" i="39"/>
  <c r="I12" i="26"/>
  <c r="I12" i="13"/>
  <c r="J47" i="12"/>
  <c r="J25" i="12" s="1"/>
  <c r="I15" i="39"/>
  <c r="I15" i="38"/>
  <c r="I15" i="37"/>
  <c r="I15" i="26"/>
  <c r="J60" i="12"/>
  <c r="J27" i="10" s="1"/>
  <c r="J29" i="10" s="1"/>
  <c r="I15" i="33"/>
  <c r="I15" i="32"/>
  <c r="I15" i="31"/>
  <c r="I15" i="24"/>
  <c r="J28" i="15"/>
  <c r="I14" i="33"/>
  <c r="I14" i="32"/>
  <c r="I14" i="31"/>
  <c r="I14" i="24"/>
  <c r="J24" i="11"/>
  <c r="K297" i="6"/>
  <c r="K14" i="37"/>
  <c r="K64" i="12"/>
  <c r="K72" i="12"/>
  <c r="K76" i="12"/>
  <c r="K77" i="12" s="1"/>
  <c r="I11" i="32"/>
  <c r="I11" i="31"/>
  <c r="I11" i="33"/>
  <c r="I11" i="24"/>
  <c r="J11" i="9"/>
  <c r="I9" i="8"/>
  <c r="I19" i="33"/>
  <c r="I19" i="31"/>
  <c r="I19" i="32"/>
  <c r="I19" i="24"/>
  <c r="J29" i="19"/>
  <c r="J48" i="19" s="1"/>
  <c r="I10" i="39"/>
  <c r="I10" i="38"/>
  <c r="I10" i="37"/>
  <c r="I10" i="26"/>
  <c r="I24" i="12"/>
  <c r="J20" i="10"/>
  <c r="J28" i="10" s="1"/>
  <c r="J22" i="15"/>
  <c r="K12" i="6"/>
  <c r="K107" i="6"/>
  <c r="K94" i="6"/>
  <c r="K101" i="6"/>
  <c r="J101" i="6"/>
  <c r="J107" i="6"/>
  <c r="J94" i="6"/>
  <c r="I10" i="33"/>
  <c r="I10" i="32"/>
  <c r="I10" i="31"/>
  <c r="I10" i="24"/>
  <c r="J41" i="15"/>
  <c r="J41" i="6"/>
  <c r="J47" i="6"/>
  <c r="J34" i="6"/>
  <c r="J81" i="6"/>
  <c r="J87" i="6"/>
  <c r="J74" i="6"/>
  <c r="K3" i="40"/>
  <c r="K3" i="4"/>
  <c r="K3" i="37"/>
  <c r="K3" i="34"/>
  <c r="K3" i="31"/>
  <c r="K3" i="22"/>
  <c r="K3" i="28"/>
  <c r="K3" i="21"/>
  <c r="K3" i="20"/>
  <c r="K3" i="19"/>
  <c r="K3" i="17"/>
  <c r="K3" i="18"/>
  <c r="K3" i="14"/>
  <c r="K3" i="15"/>
  <c r="K3" i="16"/>
  <c r="K3" i="13"/>
  <c r="K3" i="12"/>
  <c r="K3" i="11"/>
  <c r="K3" i="10"/>
  <c r="K3" i="8"/>
  <c r="K3" i="9"/>
  <c r="K3" i="7"/>
  <c r="K99" i="6"/>
  <c r="K59" i="6"/>
  <c r="K79" i="6"/>
  <c r="K3" i="6"/>
  <c r="K39" i="6"/>
  <c r="J32" i="16" l="1"/>
  <c r="J45" i="16"/>
  <c r="J46" i="16" s="1"/>
  <c r="J41" i="16"/>
  <c r="J46" i="18"/>
  <c r="J47" i="18" s="1"/>
  <c r="J42" i="18"/>
  <c r="J33" i="18"/>
  <c r="J40" i="12"/>
  <c r="J41" i="12" s="1"/>
  <c r="J32" i="12"/>
  <c r="J33" i="12" s="1"/>
  <c r="J13" i="10"/>
  <c r="J14" i="10" s="1"/>
  <c r="L94" i="6"/>
  <c r="L101" i="6"/>
  <c r="L107" i="6"/>
  <c r="L9" i="37"/>
  <c r="L17" i="12"/>
  <c r="L42" i="10"/>
  <c r="L22" i="10"/>
  <c r="J26" i="31"/>
  <c r="D41" i="51" s="1"/>
  <c r="K11" i="21"/>
  <c r="K13" i="21" s="1"/>
  <c r="J29" i="9"/>
  <c r="L14" i="17"/>
  <c r="L29" i="17"/>
  <c r="L47" i="6"/>
  <c r="L41" i="6"/>
  <c r="L34" i="6"/>
  <c r="J18" i="34"/>
  <c r="D57" i="51" s="1"/>
  <c r="L74" i="6"/>
  <c r="L81" i="6"/>
  <c r="L87" i="6"/>
  <c r="J88" i="6" s="1"/>
  <c r="K18" i="37"/>
  <c r="F30" i="49" s="1"/>
  <c r="K84" i="12"/>
  <c r="K62" i="12"/>
  <c r="K23" i="13"/>
  <c r="K31" i="13"/>
  <c r="J2" i="4"/>
  <c r="J2" i="40"/>
  <c r="J2" i="37"/>
  <c r="J2" i="31"/>
  <c r="J2" i="34"/>
  <c r="J2" i="28"/>
  <c r="J2" i="21"/>
  <c r="J2" i="22"/>
  <c r="J60" i="20"/>
  <c r="J2" i="19"/>
  <c r="J2" i="20"/>
  <c r="J2" i="17"/>
  <c r="J2" i="18"/>
  <c r="J2" i="16"/>
  <c r="J2" i="15"/>
  <c r="J2" i="13"/>
  <c r="J2" i="14"/>
  <c r="J2" i="12"/>
  <c r="J2" i="10"/>
  <c r="J2" i="9"/>
  <c r="J2" i="11"/>
  <c r="J282" i="6"/>
  <c r="J284" i="6" s="1"/>
  <c r="J319" i="6"/>
  <c r="J321" i="6" s="1"/>
  <c r="J249" i="6"/>
  <c r="J251" i="6" s="1"/>
  <c r="J2" i="7"/>
  <c r="J233" i="6"/>
  <c r="J235" i="6" s="1"/>
  <c r="J209" i="6"/>
  <c r="J2" i="8"/>
  <c r="J313" i="6"/>
  <c r="K314" i="6" s="1"/>
  <c r="J241" i="6"/>
  <c r="J243" i="6" s="1"/>
  <c r="J182" i="6"/>
  <c r="J184" i="6" s="1"/>
  <c r="J120" i="6"/>
  <c r="J122" i="6" s="1"/>
  <c r="J114" i="6"/>
  <c r="J115" i="6" s="1"/>
  <c r="J92" i="6"/>
  <c r="J176" i="6"/>
  <c r="J177" i="6" s="1"/>
  <c r="J52" i="6"/>
  <c r="J147" i="6"/>
  <c r="J32" i="6"/>
  <c r="J72" i="6"/>
  <c r="J2" i="6"/>
  <c r="L3" i="40"/>
  <c r="L3" i="4"/>
  <c r="L3" i="37"/>
  <c r="L3" i="34"/>
  <c r="L3" i="28"/>
  <c r="L3" i="31"/>
  <c r="L3" i="21"/>
  <c r="L3" i="22"/>
  <c r="L3" i="20"/>
  <c r="L3" i="19"/>
  <c r="L3" i="18"/>
  <c r="L3" i="17"/>
  <c r="L3" i="15"/>
  <c r="L3" i="16"/>
  <c r="L3" i="14"/>
  <c r="L3" i="13"/>
  <c r="L3" i="11"/>
  <c r="L3" i="10"/>
  <c r="L3" i="12"/>
  <c r="L3" i="8"/>
  <c r="L3" i="9"/>
  <c r="L3" i="7"/>
  <c r="L99" i="6"/>
  <c r="L79" i="6"/>
  <c r="L39" i="6"/>
  <c r="L3" i="6"/>
  <c r="L59" i="6"/>
  <c r="J9" i="37"/>
  <c r="J17" i="12"/>
  <c r="J42" i="10"/>
  <c r="J22" i="10"/>
  <c r="K9" i="37"/>
  <c r="K17" i="12"/>
  <c r="K42" i="10"/>
  <c r="K22" i="10"/>
  <c r="J8" i="34"/>
  <c r="D47" i="51" s="1"/>
  <c r="J44" i="15"/>
  <c r="J53" i="12"/>
  <c r="J54" i="12" s="1"/>
  <c r="J11" i="11"/>
  <c r="J12" i="11" s="1"/>
  <c r="J23" i="10"/>
  <c r="J42" i="17"/>
  <c r="J46" i="17"/>
  <c r="J47" i="17" s="1"/>
  <c r="J33" i="17"/>
  <c r="J61" i="20"/>
  <c r="K59" i="20"/>
  <c r="K53" i="20"/>
  <c r="K54" i="20" s="1"/>
  <c r="K58" i="20" s="1"/>
  <c r="K250" i="6"/>
  <c r="K242" i="6"/>
  <c r="K290" i="6"/>
  <c r="K291" i="6" s="1"/>
  <c r="K283" i="6"/>
  <c r="K234" i="6"/>
  <c r="K183" i="6"/>
  <c r="K121" i="6"/>
  <c r="K18" i="6"/>
  <c r="K19" i="6" s="1"/>
  <c r="J14" i="16"/>
  <c r="J28" i="16"/>
  <c r="M4" i="4"/>
  <c r="M4" i="40"/>
  <c r="M4" i="37"/>
  <c r="M4" i="34"/>
  <c r="M4" i="31"/>
  <c r="M4" i="28"/>
  <c r="M10" i="21"/>
  <c r="M74" i="20"/>
  <c r="M4" i="20"/>
  <c r="M4" i="22"/>
  <c r="M4" i="21"/>
  <c r="M32" i="20"/>
  <c r="M4" i="19"/>
  <c r="M28" i="19"/>
  <c r="M10" i="17"/>
  <c r="M28" i="17"/>
  <c r="M10" i="18"/>
  <c r="M4" i="17"/>
  <c r="M4" i="18"/>
  <c r="M4" i="16"/>
  <c r="M4" i="14"/>
  <c r="M10" i="16"/>
  <c r="M27" i="15"/>
  <c r="M40" i="15"/>
  <c r="M4" i="15"/>
  <c r="M19" i="13"/>
  <c r="M4" i="13"/>
  <c r="M28" i="13"/>
  <c r="M82" i="12"/>
  <c r="M46" i="12"/>
  <c r="M4" i="11"/>
  <c r="M59" i="12"/>
  <c r="M18" i="12"/>
  <c r="M69" i="12"/>
  <c r="M4" i="12"/>
  <c r="M23" i="11"/>
  <c r="M12" i="10"/>
  <c r="M336" i="6"/>
  <c r="M337" i="6" s="1"/>
  <c r="M4" i="10"/>
  <c r="M4" i="9"/>
  <c r="M35" i="9"/>
  <c r="M19" i="10"/>
  <c r="M4" i="7"/>
  <c r="M275" i="6"/>
  <c r="M301" i="6"/>
  <c r="M302" i="6" s="1"/>
  <c r="M346" i="6"/>
  <c r="M347" i="6" s="1"/>
  <c r="M4" i="8"/>
  <c r="M351" i="6"/>
  <c r="M352" i="6" s="1"/>
  <c r="M331" i="6"/>
  <c r="M332" i="6" s="1"/>
  <c r="M312" i="6"/>
  <c r="M10" i="9"/>
  <c r="M296" i="6"/>
  <c r="M297" i="6" s="1"/>
  <c r="M320" i="6"/>
  <c r="M259" i="6"/>
  <c r="M80" i="6"/>
  <c r="M4" i="6"/>
  <c r="M188" i="6"/>
  <c r="M140" i="6"/>
  <c r="M86" i="6"/>
  <c r="M93" i="6"/>
  <c r="M126" i="6"/>
  <c r="M100" i="6"/>
  <c r="M202" i="6"/>
  <c r="M106" i="6"/>
  <c r="M53" i="6"/>
  <c r="M23" i="6"/>
  <c r="M24" i="6" s="1"/>
  <c r="M66" i="6"/>
  <c r="M46" i="6"/>
  <c r="M40" i="6"/>
  <c r="M60" i="6"/>
  <c r="M33" i="6"/>
  <c r="M11" i="6"/>
  <c r="M73" i="6"/>
  <c r="N28" i="6"/>
  <c r="M35" i="10"/>
  <c r="J10" i="34"/>
  <c r="D49" i="51" s="1"/>
  <c r="J29" i="18"/>
  <c r="J14" i="18"/>
  <c r="J18" i="37"/>
  <c r="E30" i="49" s="1"/>
  <c r="J31" i="13"/>
  <c r="J84" i="12"/>
  <c r="J85" i="12" s="1"/>
  <c r="J62" i="12"/>
  <c r="J23" i="13"/>
  <c r="L12" i="6"/>
  <c r="L14" i="37"/>
  <c r="L72" i="12"/>
  <c r="L76" i="12"/>
  <c r="L77" i="12" s="1"/>
  <c r="L64" i="12"/>
  <c r="J4" i="38" l="1"/>
  <c r="J4" i="41"/>
  <c r="J4" i="35"/>
  <c r="J4" i="32"/>
  <c r="J4" i="29"/>
  <c r="J19" i="37"/>
  <c r="K83" i="12"/>
  <c r="K85" i="12" s="1"/>
  <c r="M34" i="6"/>
  <c r="M47" i="6"/>
  <c r="M41" i="6"/>
  <c r="J21" i="17"/>
  <c r="J8" i="37"/>
  <c r="J16" i="12"/>
  <c r="J41" i="10"/>
  <c r="J43" i="10" s="1"/>
  <c r="J21" i="10"/>
  <c r="J24" i="10" s="1"/>
  <c r="J34" i="10"/>
  <c r="J34" i="17"/>
  <c r="J35" i="17" s="1"/>
  <c r="J48" i="17"/>
  <c r="J162" i="6"/>
  <c r="J141" i="6"/>
  <c r="J11" i="37"/>
  <c r="J20" i="17"/>
  <c r="J13" i="15"/>
  <c r="J14" i="15" s="1"/>
  <c r="J21" i="13"/>
  <c r="J24" i="13" s="1"/>
  <c r="J39" i="12"/>
  <c r="J48" i="12"/>
  <c r="J17" i="9"/>
  <c r="J18" i="9" s="1"/>
  <c r="L59" i="20"/>
  <c r="L53" i="20"/>
  <c r="L54" i="20" s="1"/>
  <c r="L58" i="20" s="1"/>
  <c r="L234" i="6"/>
  <c r="L242" i="6"/>
  <c r="L183" i="6"/>
  <c r="L290" i="6"/>
  <c r="L291" i="6" s="1"/>
  <c r="L283" i="6"/>
  <c r="L250" i="6"/>
  <c r="L121" i="6"/>
  <c r="L18" i="6"/>
  <c r="L19" i="6" s="1"/>
  <c r="M9" i="37"/>
  <c r="M17" i="12"/>
  <c r="M22" i="10"/>
  <c r="M42" i="10"/>
  <c r="N4" i="40"/>
  <c r="N4" i="4"/>
  <c r="N4" i="37"/>
  <c r="N4" i="34"/>
  <c r="N4" i="31"/>
  <c r="N4" i="28"/>
  <c r="N10" i="21"/>
  <c r="N4" i="22"/>
  <c r="N4" i="21"/>
  <c r="N74" i="20"/>
  <c r="N32" i="20"/>
  <c r="N28" i="19"/>
  <c r="N4" i="20"/>
  <c r="N4" i="19"/>
  <c r="N10" i="17"/>
  <c r="N28" i="17"/>
  <c r="N4" i="16"/>
  <c r="N10" i="18"/>
  <c r="N4" i="17"/>
  <c r="N4" i="18"/>
  <c r="N10" i="16"/>
  <c r="N27" i="15"/>
  <c r="N40" i="15"/>
  <c r="N4" i="15"/>
  <c r="N4" i="13"/>
  <c r="N28" i="13"/>
  <c r="N82" i="12"/>
  <c r="N46" i="12"/>
  <c r="N4" i="14"/>
  <c r="N19" i="13"/>
  <c r="N69" i="12"/>
  <c r="N59" i="12"/>
  <c r="N18" i="12"/>
  <c r="N4" i="12"/>
  <c r="N23" i="11"/>
  <c r="N4" i="11"/>
  <c r="N19" i="10"/>
  <c r="N10" i="9"/>
  <c r="N12" i="10"/>
  <c r="N4" i="10"/>
  <c r="N4" i="9"/>
  <c r="N4" i="7"/>
  <c r="N351" i="6"/>
  <c r="N352" i="6" s="1"/>
  <c r="N35" i="9"/>
  <c r="N4" i="8"/>
  <c r="N301" i="6"/>
  <c r="N302" i="6" s="1"/>
  <c r="N346" i="6"/>
  <c r="N347" i="6" s="1"/>
  <c r="N331" i="6"/>
  <c r="N332" i="6" s="1"/>
  <c r="N312" i="6"/>
  <c r="N188" i="6"/>
  <c r="N336" i="6"/>
  <c r="N337" i="6" s="1"/>
  <c r="N296" i="6"/>
  <c r="N297" i="6" s="1"/>
  <c r="N320" i="6"/>
  <c r="N259" i="6"/>
  <c r="N275" i="6"/>
  <c r="N80" i="6"/>
  <c r="N140" i="6"/>
  <c r="N86" i="6"/>
  <c r="N33" i="6"/>
  <c r="N11" i="6"/>
  <c r="N93" i="6"/>
  <c r="N126" i="6"/>
  <c r="N100" i="6"/>
  <c r="N202" i="6"/>
  <c r="N106" i="6"/>
  <c r="N60" i="6"/>
  <c r="N66" i="6"/>
  <c r="N46" i="6"/>
  <c r="N40" i="6"/>
  <c r="N23" i="6"/>
  <c r="N24" i="6" s="1"/>
  <c r="N4" i="6"/>
  <c r="N73" i="6"/>
  <c r="N53" i="6"/>
  <c r="O28" i="6"/>
  <c r="N35" i="10"/>
  <c r="K2" i="4"/>
  <c r="K2" i="40"/>
  <c r="K2" i="37"/>
  <c r="K2" i="34"/>
  <c r="K2" i="28"/>
  <c r="K2" i="31"/>
  <c r="K2" i="21"/>
  <c r="K2" i="22"/>
  <c r="K60" i="20"/>
  <c r="K2" i="19"/>
  <c r="K2" i="18"/>
  <c r="K2" i="20"/>
  <c r="K2" i="17"/>
  <c r="K2" i="15"/>
  <c r="K2" i="16"/>
  <c r="K2" i="13"/>
  <c r="K2" i="14"/>
  <c r="K2" i="12"/>
  <c r="K2" i="11"/>
  <c r="K2" i="10"/>
  <c r="K2" i="9"/>
  <c r="K2" i="7"/>
  <c r="K282" i="6"/>
  <c r="K284" i="6" s="1"/>
  <c r="K276" i="6" s="1"/>
  <c r="K277" i="6" s="1"/>
  <c r="K270" i="6" s="1"/>
  <c r="K319" i="6"/>
  <c r="K321" i="6" s="1"/>
  <c r="K249" i="6"/>
  <c r="K251" i="6" s="1"/>
  <c r="K21" i="18" s="1"/>
  <c r="K2" i="8"/>
  <c r="K313" i="6"/>
  <c r="L314" i="6" s="1"/>
  <c r="K241" i="6"/>
  <c r="K243" i="6" s="1"/>
  <c r="K20" i="16" s="1"/>
  <c r="K176" i="6"/>
  <c r="K177" i="6" s="1"/>
  <c r="K114" i="6"/>
  <c r="K115" i="6" s="1"/>
  <c r="K92" i="6"/>
  <c r="K233" i="6"/>
  <c r="K235" i="6" s="1"/>
  <c r="K21" i="17" s="1"/>
  <c r="K147" i="6"/>
  <c r="K209" i="6"/>
  <c r="K182" i="6"/>
  <c r="K184" i="6" s="1"/>
  <c r="K189" i="6" s="1"/>
  <c r="K190" i="6" s="1"/>
  <c r="K194" i="6" s="1"/>
  <c r="K120" i="6"/>
  <c r="K122" i="6" s="1"/>
  <c r="K127" i="6" s="1"/>
  <c r="K128" i="6" s="1"/>
  <c r="K132" i="6" s="1"/>
  <c r="K32" i="6"/>
  <c r="K72" i="6"/>
  <c r="K2" i="6"/>
  <c r="K52" i="6"/>
  <c r="M14" i="37"/>
  <c r="M72" i="12"/>
  <c r="M76" i="12"/>
  <c r="M77" i="12" s="1"/>
  <c r="M64" i="12"/>
  <c r="J127" i="6"/>
  <c r="J128" i="6" s="1"/>
  <c r="J21" i="18"/>
  <c r="J82" i="6"/>
  <c r="L18" i="34"/>
  <c r="F57" i="51" s="1"/>
  <c r="K26" i="31"/>
  <c r="E41" i="51" s="1"/>
  <c r="L11" i="21"/>
  <c r="L13" i="21" s="1"/>
  <c r="K29" i="9"/>
  <c r="J13" i="37"/>
  <c r="J20" i="18"/>
  <c r="J49" i="12"/>
  <c r="J61" i="12"/>
  <c r="M3" i="4"/>
  <c r="M3" i="40"/>
  <c r="M3" i="37"/>
  <c r="M3" i="34"/>
  <c r="M3" i="31"/>
  <c r="M3" i="28"/>
  <c r="M3" i="22"/>
  <c r="M3" i="21"/>
  <c r="M3" i="20"/>
  <c r="M3" i="19"/>
  <c r="M3" i="17"/>
  <c r="M3" i="18"/>
  <c r="M3" i="15"/>
  <c r="M3" i="13"/>
  <c r="M3" i="16"/>
  <c r="M3" i="14"/>
  <c r="M3" i="12"/>
  <c r="M3" i="11"/>
  <c r="M3" i="10"/>
  <c r="M3" i="8"/>
  <c r="M3" i="9"/>
  <c r="M3" i="7"/>
  <c r="M79" i="6"/>
  <c r="M99" i="6"/>
  <c r="M3" i="6"/>
  <c r="M39" i="6"/>
  <c r="M59" i="6"/>
  <c r="K61" i="20"/>
  <c r="K67" i="20" s="1"/>
  <c r="M94" i="6"/>
  <c r="M101" i="6"/>
  <c r="M107" i="6"/>
  <c r="J16" i="28"/>
  <c r="J189" i="6"/>
  <c r="J190" i="6" s="1"/>
  <c r="J67" i="6"/>
  <c r="J61" i="6"/>
  <c r="J54" i="6"/>
  <c r="L18" i="37"/>
  <c r="G30" i="49" s="1"/>
  <c r="L31" i="13"/>
  <c r="L23" i="13"/>
  <c r="L84" i="12"/>
  <c r="L62" i="12"/>
  <c r="J22" i="34"/>
  <c r="D61" i="51" s="1"/>
  <c r="M12" i="6"/>
  <c r="J20" i="34"/>
  <c r="D59" i="51" s="1"/>
  <c r="J20" i="16"/>
  <c r="J276" i="6"/>
  <c r="J277" i="6" s="1"/>
  <c r="J17" i="28"/>
  <c r="J47" i="16"/>
  <c r="J33" i="16"/>
  <c r="J34" i="16" s="1"/>
  <c r="K32" i="12"/>
  <c r="K33" i="12" s="1"/>
  <c r="K40" i="12"/>
  <c r="K41" i="12" s="1"/>
  <c r="K13" i="10"/>
  <c r="K14" i="10" s="1"/>
  <c r="J67" i="20"/>
  <c r="J68" i="20" s="1"/>
  <c r="J16" i="19"/>
  <c r="J17" i="19" s="1"/>
  <c r="J20" i="15"/>
  <c r="J42" i="15"/>
  <c r="J25" i="11"/>
  <c r="J18" i="28"/>
  <c r="M74" i="6"/>
  <c r="M81" i="6"/>
  <c r="M87" i="6"/>
  <c r="M29" i="17"/>
  <c r="M14" i="17"/>
  <c r="J16" i="37"/>
  <c r="J63" i="12"/>
  <c r="J71" i="12"/>
  <c r="J73" i="12" s="1"/>
  <c r="J224" i="6"/>
  <c r="J203" i="6"/>
  <c r="J48" i="18"/>
  <c r="J34" i="18"/>
  <c r="J35" i="18" s="1"/>
  <c r="D12" i="51" l="1"/>
  <c r="E21" i="49"/>
  <c r="D14" i="51"/>
  <c r="E23" i="49"/>
  <c r="D13" i="51"/>
  <c r="E22" i="49"/>
  <c r="J13" i="17"/>
  <c r="K13" i="37"/>
  <c r="K20" i="18"/>
  <c r="K22" i="18" s="1"/>
  <c r="K61" i="12"/>
  <c r="K49" i="12"/>
  <c r="J270" i="6"/>
  <c r="M18" i="37"/>
  <c r="H30" i="49" s="1"/>
  <c r="M84" i="12"/>
  <c r="M31" i="13"/>
  <c r="M62" i="12"/>
  <c r="M23" i="13"/>
  <c r="N9" i="37"/>
  <c r="N17" i="12"/>
  <c r="N22" i="10"/>
  <c r="N42" i="10"/>
  <c r="N12" i="6"/>
  <c r="J25" i="14"/>
  <c r="J26" i="14" s="1"/>
  <c r="J13" i="16"/>
  <c r="J21" i="19"/>
  <c r="J43" i="15"/>
  <c r="J21" i="15"/>
  <c r="L22" i="15" s="1"/>
  <c r="J69" i="20"/>
  <c r="J77" i="20"/>
  <c r="K11" i="37"/>
  <c r="K20" i="17"/>
  <c r="K13" i="15"/>
  <c r="K14" i="15" s="1"/>
  <c r="K21" i="13"/>
  <c r="K48" i="12"/>
  <c r="K39" i="12"/>
  <c r="K17" i="9"/>
  <c r="K18" i="9" s="1"/>
  <c r="J3" i="41"/>
  <c r="J3" i="38"/>
  <c r="J3" i="35"/>
  <c r="J3" i="32"/>
  <c r="J3" i="29"/>
  <c r="J132" i="6"/>
  <c r="N74" i="6"/>
  <c r="N81" i="6"/>
  <c r="N87" i="6"/>
  <c r="N94" i="6"/>
  <c r="N101" i="6"/>
  <c r="N107" i="6"/>
  <c r="J29" i="15"/>
  <c r="J10" i="12"/>
  <c r="J11" i="12" s="1"/>
  <c r="K19" i="37"/>
  <c r="L83" i="12"/>
  <c r="L85" i="12" s="1"/>
  <c r="J24" i="34"/>
  <c r="D63" i="51" s="1"/>
  <c r="O4" i="40"/>
  <c r="O4" i="4"/>
  <c r="O4" i="37"/>
  <c r="O4" i="34"/>
  <c r="O4" i="31"/>
  <c r="O4" i="28"/>
  <c r="O4" i="22"/>
  <c r="O74" i="20"/>
  <c r="O4" i="21"/>
  <c r="O10" i="21"/>
  <c r="O32" i="20"/>
  <c r="O4" i="20"/>
  <c r="O10" i="18"/>
  <c r="O28" i="19"/>
  <c r="O4" i="19"/>
  <c r="O28" i="17"/>
  <c r="O4" i="17"/>
  <c r="O4" i="18"/>
  <c r="O10" i="17"/>
  <c r="O4" i="15"/>
  <c r="O4" i="14"/>
  <c r="O27" i="15"/>
  <c r="O10" i="16"/>
  <c r="O28" i="13"/>
  <c r="O40" i="15"/>
  <c r="O4" i="16"/>
  <c r="O4" i="13"/>
  <c r="O82" i="12"/>
  <c r="O46" i="12"/>
  <c r="O19" i="13"/>
  <c r="O69" i="12"/>
  <c r="O59" i="12"/>
  <c r="O18" i="12"/>
  <c r="O4" i="12"/>
  <c r="O4" i="11"/>
  <c r="O23" i="11"/>
  <c r="O12" i="10"/>
  <c r="O4" i="10"/>
  <c r="O35" i="9"/>
  <c r="O4" i="8"/>
  <c r="O19" i="10"/>
  <c r="O10" i="9"/>
  <c r="O331" i="6"/>
  <c r="O332" i="6" s="1"/>
  <c r="O346" i="6"/>
  <c r="O347" i="6" s="1"/>
  <c r="O351" i="6"/>
  <c r="O352" i="6" s="1"/>
  <c r="O312" i="6"/>
  <c r="O4" i="9"/>
  <c r="O336" i="6"/>
  <c r="O337" i="6" s="1"/>
  <c r="O296" i="6"/>
  <c r="O297" i="6" s="1"/>
  <c r="O320" i="6"/>
  <c r="O259" i="6"/>
  <c r="O275" i="6"/>
  <c r="O4" i="7"/>
  <c r="O301" i="6"/>
  <c r="O302" i="6" s="1"/>
  <c r="O80" i="6"/>
  <c r="O140" i="6"/>
  <c r="O86" i="6"/>
  <c r="O188" i="6"/>
  <c r="O93" i="6"/>
  <c r="O40" i="6"/>
  <c r="P28" i="6"/>
  <c r="O126" i="6"/>
  <c r="O100" i="6"/>
  <c r="O202" i="6"/>
  <c r="O106" i="6"/>
  <c r="O66" i="6"/>
  <c r="O46" i="6"/>
  <c r="O23" i="6"/>
  <c r="O24" i="6" s="1"/>
  <c r="O60" i="6"/>
  <c r="O4" i="6"/>
  <c r="O11" i="6"/>
  <c r="O12" i="6" s="1"/>
  <c r="O33" i="6"/>
  <c r="O73" i="6"/>
  <c r="O53" i="6"/>
  <c r="O35" i="10"/>
  <c r="J13" i="18"/>
  <c r="M18" i="34"/>
  <c r="G57" i="51" s="1"/>
  <c r="K22" i="17"/>
  <c r="K67" i="6"/>
  <c r="K61" i="6"/>
  <c r="K54" i="6"/>
  <c r="N14" i="37"/>
  <c r="N76" i="12"/>
  <c r="N77" i="12" s="1"/>
  <c r="N64" i="12"/>
  <c r="N72" i="12"/>
  <c r="L40" i="12"/>
  <c r="L41" i="12" s="1"/>
  <c r="L32" i="12"/>
  <c r="L33" i="12" s="1"/>
  <c r="L13" i="10"/>
  <c r="L14" i="10" s="1"/>
  <c r="J50" i="12"/>
  <c r="J65" i="12"/>
  <c r="L26" i="31"/>
  <c r="F41" i="51" s="1"/>
  <c r="M11" i="21"/>
  <c r="M13" i="21" s="1"/>
  <c r="L29" i="9"/>
  <c r="J23" i="34"/>
  <c r="D62" i="51" s="1"/>
  <c r="J17" i="37"/>
  <c r="E29" i="49" s="1"/>
  <c r="K70" i="12"/>
  <c r="J17" i="11"/>
  <c r="J18" i="11" s="1"/>
  <c r="J25" i="34"/>
  <c r="D64" i="51" s="1"/>
  <c r="K162" i="6"/>
  <c r="K141" i="6"/>
  <c r="N14" i="17"/>
  <c r="N29" i="17"/>
  <c r="N18" i="34" s="1"/>
  <c r="H57" i="51" s="1"/>
  <c r="J8" i="31"/>
  <c r="D23" i="51" s="1"/>
  <c r="K20" i="13"/>
  <c r="J45" i="15"/>
  <c r="M53" i="20"/>
  <c r="M54" i="20" s="1"/>
  <c r="M58" i="20" s="1"/>
  <c r="M59" i="20"/>
  <c r="M234" i="6"/>
  <c r="M242" i="6"/>
  <c r="M290" i="6"/>
  <c r="M291" i="6" s="1"/>
  <c r="M283" i="6"/>
  <c r="M250" i="6"/>
  <c r="M183" i="6"/>
  <c r="M121" i="6"/>
  <c r="M18" i="6"/>
  <c r="M19" i="6" s="1"/>
  <c r="J194" i="6"/>
  <c r="K203" i="6"/>
  <c r="K224" i="6"/>
  <c r="N3" i="4"/>
  <c r="N3" i="40"/>
  <c r="N3" i="37"/>
  <c r="N3" i="34"/>
  <c r="N3" i="31"/>
  <c r="N3" i="21"/>
  <c r="N3" i="28"/>
  <c r="N3" i="22"/>
  <c r="N3" i="19"/>
  <c r="N3" i="20"/>
  <c r="N3" i="17"/>
  <c r="N3" i="18"/>
  <c r="N3" i="16"/>
  <c r="N3" i="15"/>
  <c r="N3" i="13"/>
  <c r="N3" i="14"/>
  <c r="N3" i="12"/>
  <c r="N3" i="10"/>
  <c r="N3" i="9"/>
  <c r="N3" i="11"/>
  <c r="N3" i="8"/>
  <c r="N3" i="7"/>
  <c r="N79" i="6"/>
  <c r="N99" i="6"/>
  <c r="N3" i="6"/>
  <c r="N39" i="6"/>
  <c r="N59" i="6"/>
  <c r="N41" i="6"/>
  <c r="N34" i="6"/>
  <c r="N47" i="6"/>
  <c r="J15" i="15"/>
  <c r="J32" i="15"/>
  <c r="K8" i="37"/>
  <c r="K16" i="12"/>
  <c r="K41" i="10"/>
  <c r="K43" i="10" s="1"/>
  <c r="K25" i="14" s="1"/>
  <c r="K26" i="14" s="1"/>
  <c r="K21" i="10"/>
  <c r="K34" i="10"/>
  <c r="J22" i="18"/>
  <c r="L2" i="40"/>
  <c r="L2" i="4"/>
  <c r="L2" i="37"/>
  <c r="L2" i="34"/>
  <c r="L2" i="31"/>
  <c r="L2" i="22"/>
  <c r="L2" i="28"/>
  <c r="L2" i="21"/>
  <c r="L60" i="20"/>
  <c r="L2" i="20"/>
  <c r="L2" i="19"/>
  <c r="L2" i="18"/>
  <c r="L2" i="17"/>
  <c r="L2" i="16"/>
  <c r="L2" i="14"/>
  <c r="L2" i="15"/>
  <c r="L2" i="13"/>
  <c r="L2" i="12"/>
  <c r="L2" i="11"/>
  <c r="L2" i="10"/>
  <c r="L2" i="8"/>
  <c r="L319" i="6"/>
  <c r="L321" i="6" s="1"/>
  <c r="L249" i="6"/>
  <c r="L251" i="6" s="1"/>
  <c r="L2" i="9"/>
  <c r="L2" i="7"/>
  <c r="L313" i="6"/>
  <c r="M314" i="6" s="1"/>
  <c r="L241" i="6"/>
  <c r="L243" i="6" s="1"/>
  <c r="L282" i="6"/>
  <c r="L284" i="6" s="1"/>
  <c r="L176" i="6"/>
  <c r="L177" i="6" s="1"/>
  <c r="L233" i="6"/>
  <c r="L235" i="6" s="1"/>
  <c r="L21" i="17" s="1"/>
  <c r="L147" i="6"/>
  <c r="L209" i="6"/>
  <c r="L182" i="6"/>
  <c r="L184" i="6" s="1"/>
  <c r="L189" i="6" s="1"/>
  <c r="L190" i="6" s="1"/>
  <c r="L194" i="6" s="1"/>
  <c r="L120" i="6"/>
  <c r="L122" i="6" s="1"/>
  <c r="L127" i="6" s="1"/>
  <c r="L128" i="6" s="1"/>
  <c r="L132" i="6" s="1"/>
  <c r="L114" i="6"/>
  <c r="L115" i="6" s="1"/>
  <c r="L92" i="6"/>
  <c r="L72" i="6"/>
  <c r="L2" i="6"/>
  <c r="L52" i="6"/>
  <c r="L32" i="6"/>
  <c r="L61" i="20"/>
  <c r="J10" i="37"/>
  <c r="E26" i="49" s="1"/>
  <c r="J24" i="12"/>
  <c r="J26" i="12" s="1"/>
  <c r="K20" i="10"/>
  <c r="J22" i="17"/>
  <c r="N314" i="6" l="1"/>
  <c r="K21" i="34"/>
  <c r="E60" i="51" s="1"/>
  <c r="K12" i="18"/>
  <c r="L224" i="6"/>
  <c r="L203" i="6"/>
  <c r="J10" i="31"/>
  <c r="D25" i="51" s="1"/>
  <c r="K41" i="15"/>
  <c r="K17" i="34"/>
  <c r="E56" i="51" s="1"/>
  <c r="K12" i="17"/>
  <c r="K27" i="17"/>
  <c r="O59" i="20"/>
  <c r="O53" i="20"/>
  <c r="O54" i="20" s="1"/>
  <c r="O58" i="20" s="1"/>
  <c r="O242" i="6"/>
  <c r="O290" i="6"/>
  <c r="O291" i="6" s="1"/>
  <c r="O283" i="6"/>
  <c r="O250" i="6"/>
  <c r="O234" i="6"/>
  <c r="O183" i="6"/>
  <c r="O121" i="6"/>
  <c r="O18" i="6"/>
  <c r="O19" i="6" s="1"/>
  <c r="K29" i="15"/>
  <c r="K10" i="12"/>
  <c r="K11" i="12" s="1"/>
  <c r="L8" i="34"/>
  <c r="F47" i="51" s="1"/>
  <c r="L44" i="15"/>
  <c r="O47" i="6"/>
  <c r="O41" i="6"/>
  <c r="O34" i="6"/>
  <c r="O14" i="17"/>
  <c r="O29" i="17"/>
  <c r="J11" i="34"/>
  <c r="L67" i="20"/>
  <c r="J31" i="12"/>
  <c r="L276" i="6"/>
  <c r="L277" i="6" s="1"/>
  <c r="J17" i="34"/>
  <c r="D56" i="51" s="1"/>
  <c r="J12" i="17"/>
  <c r="J15" i="17" s="1"/>
  <c r="J27" i="17"/>
  <c r="L141" i="6"/>
  <c r="L162" i="6"/>
  <c r="L20" i="16"/>
  <c r="J21" i="34"/>
  <c r="D60" i="51" s="1"/>
  <c r="J12" i="18"/>
  <c r="J15" i="18" s="1"/>
  <c r="J12" i="37"/>
  <c r="E27" i="49" s="1"/>
  <c r="J12" i="13"/>
  <c r="J13" i="13" s="1"/>
  <c r="K47" i="12"/>
  <c r="P4" i="40"/>
  <c r="P4" i="4"/>
  <c r="P4" i="37"/>
  <c r="P4" i="34"/>
  <c r="P4" i="28"/>
  <c r="P4" i="22"/>
  <c r="P4" i="31"/>
  <c r="P74" i="20"/>
  <c r="P4" i="21"/>
  <c r="P32" i="20"/>
  <c r="P10" i="21"/>
  <c r="P4" i="20"/>
  <c r="P10" i="18"/>
  <c r="P28" i="17"/>
  <c r="P28" i="19"/>
  <c r="P4" i="19"/>
  <c r="P4" i="18"/>
  <c r="P4" i="17"/>
  <c r="P40" i="15"/>
  <c r="P10" i="17"/>
  <c r="P27" i="15"/>
  <c r="P10" i="16"/>
  <c r="P4" i="15"/>
  <c r="P4" i="16"/>
  <c r="P4" i="14"/>
  <c r="P82" i="12"/>
  <c r="P28" i="13"/>
  <c r="P46" i="12"/>
  <c r="P19" i="13"/>
  <c r="P69" i="12"/>
  <c r="P59" i="12"/>
  <c r="P4" i="13"/>
  <c r="P23" i="11"/>
  <c r="P18" i="12"/>
  <c r="P12" i="10"/>
  <c r="P4" i="11"/>
  <c r="P4" i="10"/>
  <c r="P4" i="12"/>
  <c r="P19" i="10"/>
  <c r="P346" i="6"/>
  <c r="P347" i="6" s="1"/>
  <c r="P35" i="9"/>
  <c r="P351" i="6"/>
  <c r="P352" i="6" s="1"/>
  <c r="P312" i="6"/>
  <c r="P4" i="8"/>
  <c r="P331" i="6"/>
  <c r="P332" i="6" s="1"/>
  <c r="P4" i="9"/>
  <c r="P336" i="6"/>
  <c r="P337" i="6" s="1"/>
  <c r="P296" i="6"/>
  <c r="P297" i="6" s="1"/>
  <c r="P320" i="6"/>
  <c r="P259" i="6"/>
  <c r="P10" i="9"/>
  <c r="P275" i="6"/>
  <c r="P4" i="7"/>
  <c r="P301" i="6"/>
  <c r="P302" i="6" s="1"/>
  <c r="P80" i="6"/>
  <c r="P140" i="6"/>
  <c r="P86" i="6"/>
  <c r="P188" i="6"/>
  <c r="P93" i="6"/>
  <c r="P126" i="6"/>
  <c r="P100" i="6"/>
  <c r="P46" i="6"/>
  <c r="P202" i="6"/>
  <c r="P106" i="6"/>
  <c r="P73" i="6"/>
  <c r="P66" i="6"/>
  <c r="P40" i="6"/>
  <c r="P23" i="6"/>
  <c r="P24" i="6" s="1"/>
  <c r="P60" i="6"/>
  <c r="P4" i="6"/>
  <c r="P33" i="6"/>
  <c r="P11" i="6"/>
  <c r="P12" i="6" s="1"/>
  <c r="P53" i="6"/>
  <c r="Q28" i="6"/>
  <c r="P35" i="10"/>
  <c r="O94" i="6"/>
  <c r="O101" i="6"/>
  <c r="O107" i="6"/>
  <c r="L54" i="6"/>
  <c r="L67" i="6"/>
  <c r="L61" i="6"/>
  <c r="M40" i="12"/>
  <c r="M41" i="12" s="1"/>
  <c r="M32" i="12"/>
  <c r="M33" i="12" s="1"/>
  <c r="M13" i="10"/>
  <c r="M14" i="10" s="1"/>
  <c r="O9" i="37"/>
  <c r="O17" i="12"/>
  <c r="O42" i="10"/>
  <c r="O22" i="10"/>
  <c r="O3" i="4"/>
  <c r="O3" i="40"/>
  <c r="O3" i="37"/>
  <c r="O3" i="34"/>
  <c r="O3" i="31"/>
  <c r="O3" i="28"/>
  <c r="O3" i="22"/>
  <c r="O3" i="21"/>
  <c r="O3" i="19"/>
  <c r="O3" i="18"/>
  <c r="O3" i="20"/>
  <c r="O3" i="17"/>
  <c r="O3" i="15"/>
  <c r="O3" i="16"/>
  <c r="O3" i="13"/>
  <c r="O3" i="14"/>
  <c r="O3" i="12"/>
  <c r="O3" i="8"/>
  <c r="O3" i="11"/>
  <c r="O3" i="10"/>
  <c r="O3" i="9"/>
  <c r="O3" i="7"/>
  <c r="O79" i="6"/>
  <c r="O99" i="6"/>
  <c r="O59" i="6"/>
  <c r="O39" i="6"/>
  <c r="O3" i="6"/>
  <c r="L8" i="37"/>
  <c r="L16" i="12"/>
  <c r="L41" i="10"/>
  <c r="L43" i="10" s="1"/>
  <c r="L25" i="14" s="1"/>
  <c r="L26" i="14" s="1"/>
  <c r="L21" i="10"/>
  <c r="L34" i="10"/>
  <c r="K32" i="15"/>
  <c r="K15" i="15"/>
  <c r="K14" i="34" s="1"/>
  <c r="E53" i="51" s="1"/>
  <c r="J49" i="15"/>
  <c r="J34" i="15"/>
  <c r="J27" i="14"/>
  <c r="J12" i="14"/>
  <c r="K28" i="10"/>
  <c r="K49" i="15"/>
  <c r="K12" i="14"/>
  <c r="K34" i="15"/>
  <c r="K27" i="14"/>
  <c r="K9" i="28" s="1"/>
  <c r="J8" i="28"/>
  <c r="J19" i="16"/>
  <c r="J21" i="16" s="1"/>
  <c r="J26" i="11"/>
  <c r="J27" i="11" s="1"/>
  <c r="M26" i="31"/>
  <c r="G41" i="51" s="1"/>
  <c r="N11" i="21"/>
  <c r="N13" i="21" s="1"/>
  <c r="M29" i="9"/>
  <c r="L11" i="37"/>
  <c r="L20" i="17"/>
  <c r="L22" i="17" s="1"/>
  <c r="L13" i="15"/>
  <c r="L14" i="15" s="1"/>
  <c r="L21" i="13"/>
  <c r="L48" i="12"/>
  <c r="L39" i="12"/>
  <c r="L17" i="9"/>
  <c r="L18" i="9" s="1"/>
  <c r="M2" i="4"/>
  <c r="M2" i="40"/>
  <c r="M2" i="37"/>
  <c r="M2" i="34"/>
  <c r="M2" i="31"/>
  <c r="M2" i="22"/>
  <c r="M2" i="28"/>
  <c r="M2" i="20"/>
  <c r="M60" i="20"/>
  <c r="M2" i="21"/>
  <c r="M2" i="19"/>
  <c r="M2" i="18"/>
  <c r="M2" i="17"/>
  <c r="M2" i="16"/>
  <c r="M2" i="14"/>
  <c r="M2" i="15"/>
  <c r="M2" i="13"/>
  <c r="M2" i="11"/>
  <c r="M2" i="12"/>
  <c r="M2" i="10"/>
  <c r="M2" i="9"/>
  <c r="M319" i="6"/>
  <c r="M321" i="6" s="1"/>
  <c r="M2" i="7"/>
  <c r="M2" i="8"/>
  <c r="M313" i="6"/>
  <c r="M241" i="6"/>
  <c r="M243" i="6" s="1"/>
  <c r="M20" i="16" s="1"/>
  <c r="M182" i="6"/>
  <c r="M184" i="6" s="1"/>
  <c r="M189" i="6" s="1"/>
  <c r="M190" i="6" s="1"/>
  <c r="M194" i="6" s="1"/>
  <c r="M282" i="6"/>
  <c r="M284" i="6" s="1"/>
  <c r="M276" i="6" s="1"/>
  <c r="M277" i="6" s="1"/>
  <c r="M270" i="6" s="1"/>
  <c r="M249" i="6"/>
  <c r="M251" i="6" s="1"/>
  <c r="M21" i="18" s="1"/>
  <c r="M176" i="6"/>
  <c r="M177" i="6" s="1"/>
  <c r="M233" i="6"/>
  <c r="M235" i="6" s="1"/>
  <c r="M21" i="17" s="1"/>
  <c r="M147" i="6"/>
  <c r="M209" i="6"/>
  <c r="M72" i="6"/>
  <c r="M120" i="6"/>
  <c r="M122" i="6" s="1"/>
  <c r="M127" i="6" s="1"/>
  <c r="M128" i="6" s="1"/>
  <c r="M132" i="6" s="1"/>
  <c r="M114" i="6"/>
  <c r="M115" i="6" s="1"/>
  <c r="M92" i="6"/>
  <c r="M52" i="6"/>
  <c r="M32" i="6"/>
  <c r="M2" i="6"/>
  <c r="L13" i="37"/>
  <c r="L20" i="18"/>
  <c r="L61" i="12"/>
  <c r="L49" i="12"/>
  <c r="O14" i="37"/>
  <c r="O72" i="12"/>
  <c r="O76" i="12"/>
  <c r="O77" i="12" s="1"/>
  <c r="O64" i="12"/>
  <c r="N59" i="20"/>
  <c r="N53" i="20"/>
  <c r="N54" i="20" s="1"/>
  <c r="N58" i="20" s="1"/>
  <c r="N242" i="6"/>
  <c r="N290" i="6"/>
  <c r="N291" i="6" s="1"/>
  <c r="N283" i="6"/>
  <c r="N250" i="6"/>
  <c r="N234" i="6"/>
  <c r="N183" i="6"/>
  <c r="N121" i="6"/>
  <c r="N18" i="6"/>
  <c r="N19" i="6" s="1"/>
  <c r="J14" i="34"/>
  <c r="D53" i="51" s="1"/>
  <c r="L21" i="18"/>
  <c r="M61" i="20"/>
  <c r="M67" i="20" s="1"/>
  <c r="K11" i="13"/>
  <c r="K24" i="13"/>
  <c r="J15" i="37"/>
  <c r="E28" i="49" s="1"/>
  <c r="K60" i="12"/>
  <c r="N18" i="37"/>
  <c r="I30" i="49" s="1"/>
  <c r="N84" i="12"/>
  <c r="N23" i="13"/>
  <c r="N31" i="13"/>
  <c r="N62" i="12"/>
  <c r="O81" i="6"/>
  <c r="O87" i="6"/>
  <c r="O74" i="6"/>
  <c r="L19" i="37"/>
  <c r="M83" i="12"/>
  <c r="M85" i="12" s="1"/>
  <c r="J9" i="19"/>
  <c r="J30" i="15"/>
  <c r="D4" i="51" l="1"/>
  <c r="E12" i="49"/>
  <c r="E5" i="51"/>
  <c r="F18" i="49"/>
  <c r="L22" i="18"/>
  <c r="L12" i="18" s="1"/>
  <c r="L17" i="34"/>
  <c r="F56" i="51" s="1"/>
  <c r="L27" i="17"/>
  <c r="L12" i="17"/>
  <c r="M141" i="6"/>
  <c r="M162" i="6"/>
  <c r="L32" i="15"/>
  <c r="L15" i="15"/>
  <c r="M8" i="37"/>
  <c r="M16" i="12"/>
  <c r="M41" i="10"/>
  <c r="M43" i="10" s="1"/>
  <c r="M21" i="10"/>
  <c r="M34" i="10"/>
  <c r="P59" i="20"/>
  <c r="P53" i="20"/>
  <c r="P54" i="20" s="1"/>
  <c r="P58" i="20" s="1"/>
  <c r="P242" i="6"/>
  <c r="P290" i="6"/>
  <c r="P291" i="6" s="1"/>
  <c r="P283" i="6"/>
  <c r="P250" i="6"/>
  <c r="P234" i="6"/>
  <c r="P183" i="6"/>
  <c r="P121" i="6"/>
  <c r="P18" i="6"/>
  <c r="P19" i="6" s="1"/>
  <c r="L270" i="6"/>
  <c r="O2" i="40"/>
  <c r="O2" i="4"/>
  <c r="O2" i="37"/>
  <c r="O2" i="34"/>
  <c r="O2" i="31"/>
  <c r="O2" i="28"/>
  <c r="O2" i="22"/>
  <c r="O60" i="20"/>
  <c r="O61" i="20" s="1"/>
  <c r="O67" i="20" s="1"/>
  <c r="O2" i="21"/>
  <c r="O2" i="19"/>
  <c r="O2" i="20"/>
  <c r="O2" i="18"/>
  <c r="O2" i="17"/>
  <c r="O2" i="14"/>
  <c r="O2" i="16"/>
  <c r="O2" i="15"/>
  <c r="O2" i="13"/>
  <c r="O2" i="12"/>
  <c r="O2" i="11"/>
  <c r="O2" i="10"/>
  <c r="O2" i="8"/>
  <c r="O2" i="9"/>
  <c r="O2" i="7"/>
  <c r="O313" i="6"/>
  <c r="O282" i="6"/>
  <c r="O284" i="6" s="1"/>
  <c r="O276" i="6" s="1"/>
  <c r="O277" i="6" s="1"/>
  <c r="O270" i="6" s="1"/>
  <c r="O249" i="6"/>
  <c r="O251" i="6" s="1"/>
  <c r="O21" i="18" s="1"/>
  <c r="O319" i="6"/>
  <c r="O321" i="6" s="1"/>
  <c r="O233" i="6"/>
  <c r="O235" i="6" s="1"/>
  <c r="O21" i="17" s="1"/>
  <c r="O209" i="6"/>
  <c r="O147" i="6"/>
  <c r="O120" i="6"/>
  <c r="O122" i="6" s="1"/>
  <c r="O127" i="6" s="1"/>
  <c r="O128" i="6" s="1"/>
  <c r="O132" i="6" s="1"/>
  <c r="O32" i="6"/>
  <c r="O241" i="6"/>
  <c r="O243" i="6" s="1"/>
  <c r="O20" i="16" s="1"/>
  <c r="O182" i="6"/>
  <c r="O184" i="6" s="1"/>
  <c r="O189" i="6" s="1"/>
  <c r="O190" i="6" s="1"/>
  <c r="O194" i="6" s="1"/>
  <c r="O114" i="6"/>
  <c r="O115" i="6" s="1"/>
  <c r="O92" i="6"/>
  <c r="O176" i="6"/>
  <c r="O177" i="6" s="1"/>
  <c r="O52" i="6"/>
  <c r="O2" i="6"/>
  <c r="O72" i="6"/>
  <c r="M19" i="37"/>
  <c r="N83" i="12"/>
  <c r="N85" i="12" s="1"/>
  <c r="J14" i="31"/>
  <c r="D29" i="51" s="1"/>
  <c r="K24" i="11"/>
  <c r="M11" i="37"/>
  <c r="M20" i="17"/>
  <c r="M13" i="15"/>
  <c r="M14" i="15" s="1"/>
  <c r="M21" i="13"/>
  <c r="M48" i="12"/>
  <c r="M39" i="12"/>
  <c r="M17" i="9"/>
  <c r="M18" i="9" s="1"/>
  <c r="P87" i="6"/>
  <c r="P74" i="6"/>
  <c r="P81" i="6"/>
  <c r="K25" i="12"/>
  <c r="K50" i="12"/>
  <c r="J19" i="34"/>
  <c r="D58" i="51" s="1"/>
  <c r="J12" i="16"/>
  <c r="J15" i="16" s="1"/>
  <c r="J26" i="16"/>
  <c r="L27" i="16" s="1"/>
  <c r="M13" i="37"/>
  <c r="M20" i="18"/>
  <c r="M22" i="18" s="1"/>
  <c r="M61" i="12"/>
  <c r="M49" i="12"/>
  <c r="P34" i="6"/>
  <c r="P47" i="6"/>
  <c r="P41" i="6"/>
  <c r="J30" i="13"/>
  <c r="J33" i="13" s="1"/>
  <c r="J14" i="13"/>
  <c r="J18" i="31"/>
  <c r="K11" i="18"/>
  <c r="N2" i="4"/>
  <c r="N2" i="40"/>
  <c r="N2" i="37"/>
  <c r="N2" i="34"/>
  <c r="N2" i="31"/>
  <c r="N2" i="28"/>
  <c r="N60" i="20"/>
  <c r="N61" i="20" s="1"/>
  <c r="N2" i="21"/>
  <c r="N2" i="22"/>
  <c r="N2" i="20"/>
  <c r="N2" i="19"/>
  <c r="N2" i="18"/>
  <c r="N2" i="16"/>
  <c r="N2" i="17"/>
  <c r="N2" i="15"/>
  <c r="N2" i="13"/>
  <c r="N2" i="14"/>
  <c r="N2" i="12"/>
  <c r="N2" i="11"/>
  <c r="N2" i="10"/>
  <c r="N2" i="9"/>
  <c r="N2" i="7"/>
  <c r="N2" i="8"/>
  <c r="N233" i="6"/>
  <c r="N235" i="6" s="1"/>
  <c r="N21" i="17" s="1"/>
  <c r="N313" i="6"/>
  <c r="O314" i="6" s="1"/>
  <c r="P314" i="6" s="1"/>
  <c r="N176" i="6"/>
  <c r="N177" i="6" s="1"/>
  <c r="N282" i="6"/>
  <c r="N284" i="6" s="1"/>
  <c r="N249" i="6"/>
  <c r="N251" i="6" s="1"/>
  <c r="N21" i="18" s="1"/>
  <c r="N319" i="6"/>
  <c r="N321" i="6" s="1"/>
  <c r="N147" i="6"/>
  <c r="N209" i="6"/>
  <c r="N120" i="6"/>
  <c r="N122" i="6" s="1"/>
  <c r="N127" i="6" s="1"/>
  <c r="N128" i="6" s="1"/>
  <c r="N241" i="6"/>
  <c r="N243" i="6" s="1"/>
  <c r="N20" i="16" s="1"/>
  <c r="N182" i="6"/>
  <c r="N184" i="6" s="1"/>
  <c r="N189" i="6" s="1"/>
  <c r="N190" i="6" s="1"/>
  <c r="N114" i="6"/>
  <c r="N115" i="6" s="1"/>
  <c r="N92" i="6"/>
  <c r="N52" i="6"/>
  <c r="N72" i="6"/>
  <c r="N32" i="6"/>
  <c r="N2" i="6"/>
  <c r="J9" i="28"/>
  <c r="K9" i="19"/>
  <c r="K30" i="15"/>
  <c r="L21" i="34"/>
  <c r="F60" i="51" s="1"/>
  <c r="K8" i="31"/>
  <c r="E23" i="51" s="1"/>
  <c r="L20" i="13"/>
  <c r="L29" i="15"/>
  <c r="L10" i="12"/>
  <c r="L11" i="12" s="1"/>
  <c r="P9" i="37"/>
  <c r="P17" i="12"/>
  <c r="P22" i="10"/>
  <c r="P42" i="10"/>
  <c r="P3" i="40"/>
  <c r="P3" i="4"/>
  <c r="P3" i="37"/>
  <c r="P3" i="34"/>
  <c r="P3" i="31"/>
  <c r="P3" i="28"/>
  <c r="P3" i="22"/>
  <c r="P3" i="21"/>
  <c r="P3" i="20"/>
  <c r="P3" i="19"/>
  <c r="P3" i="18"/>
  <c r="P3" i="17"/>
  <c r="P3" i="16"/>
  <c r="P3" i="14"/>
  <c r="P3" i="15"/>
  <c r="P3" i="13"/>
  <c r="P3" i="12"/>
  <c r="P3" i="11"/>
  <c r="P3" i="10"/>
  <c r="P3" i="8"/>
  <c r="P3" i="9"/>
  <c r="P3" i="7"/>
  <c r="P79" i="6"/>
  <c r="P39" i="6"/>
  <c r="P99" i="6"/>
  <c r="P59" i="6"/>
  <c r="P3" i="6"/>
  <c r="J16" i="31"/>
  <c r="K11" i="17"/>
  <c r="K27" i="10"/>
  <c r="K29" i="10" s="1"/>
  <c r="N40" i="12"/>
  <c r="N41" i="12" s="1"/>
  <c r="N32" i="12"/>
  <c r="N33" i="12" s="1"/>
  <c r="N13" i="10"/>
  <c r="N14" i="10" s="1"/>
  <c r="O18" i="37"/>
  <c r="J30" i="49" s="1"/>
  <c r="O23" i="13"/>
  <c r="O31" i="13"/>
  <c r="O84" i="12"/>
  <c r="O62" i="12"/>
  <c r="M22" i="17"/>
  <c r="N26" i="31"/>
  <c r="H41" i="51" s="1"/>
  <c r="O11" i="21"/>
  <c r="O13" i="21" s="1"/>
  <c r="N29" i="9"/>
  <c r="L49" i="15"/>
  <c r="L12" i="14"/>
  <c r="L34" i="15"/>
  <c r="L27" i="14"/>
  <c r="L9" i="28" s="1"/>
  <c r="P14" i="17"/>
  <c r="P29" i="17"/>
  <c r="M224" i="6"/>
  <c r="M203" i="6"/>
  <c r="M61" i="6"/>
  <c r="M67" i="6"/>
  <c r="M54" i="6"/>
  <c r="Q4" i="4"/>
  <c r="Q4" i="40"/>
  <c r="Q4" i="37"/>
  <c r="Q4" i="34"/>
  <c r="Q4" i="31"/>
  <c r="Q4" i="28"/>
  <c r="Q4" i="22"/>
  <c r="Q4" i="21"/>
  <c r="Q10" i="21"/>
  <c r="Q74" i="20"/>
  <c r="Q4" i="20"/>
  <c r="Q32" i="20"/>
  <c r="Q4" i="19"/>
  <c r="Q28" i="19"/>
  <c r="Q28" i="17"/>
  <c r="Q4" i="17"/>
  <c r="Q10" i="18"/>
  <c r="Q4" i="18"/>
  <c r="Q10" i="17"/>
  <c r="Q10" i="16"/>
  <c r="Q27" i="15"/>
  <c r="Q40" i="15"/>
  <c r="Q19" i="13"/>
  <c r="Q4" i="13"/>
  <c r="Q4" i="15"/>
  <c r="Q4" i="16"/>
  <c r="Q4" i="14"/>
  <c r="Q28" i="13"/>
  <c r="Q69" i="12"/>
  <c r="Q59" i="12"/>
  <c r="Q82" i="12"/>
  <c r="Q46" i="12"/>
  <c r="Q4" i="12"/>
  <c r="Q4" i="11"/>
  <c r="Q18" i="12"/>
  <c r="Q23" i="11"/>
  <c r="Q12" i="10"/>
  <c r="Q4" i="10"/>
  <c r="Q35" i="9"/>
  <c r="Q19" i="10"/>
  <c r="Q10" i="9"/>
  <c r="Q351" i="6"/>
  <c r="Q352" i="6" s="1"/>
  <c r="Q312" i="6"/>
  <c r="Q4" i="8"/>
  <c r="Q331" i="6"/>
  <c r="Q332" i="6" s="1"/>
  <c r="Q4" i="9"/>
  <c r="Q336" i="6"/>
  <c r="Q337" i="6" s="1"/>
  <c r="Q296" i="6"/>
  <c r="Q297" i="6" s="1"/>
  <c r="Q320" i="6"/>
  <c r="Q259" i="6"/>
  <c r="Q275" i="6"/>
  <c r="Q4" i="7"/>
  <c r="Q301" i="6"/>
  <c r="Q302" i="6" s="1"/>
  <c r="Q346" i="6"/>
  <c r="Q347" i="6" s="1"/>
  <c r="Q202" i="6"/>
  <c r="Q140" i="6"/>
  <c r="Q86" i="6"/>
  <c r="Q188" i="6"/>
  <c r="Q93" i="6"/>
  <c r="Q126" i="6"/>
  <c r="Q100" i="6"/>
  <c r="Q106" i="6"/>
  <c r="Q53" i="6"/>
  <c r="Q23" i="6"/>
  <c r="Q24" i="6" s="1"/>
  <c r="Q80" i="6"/>
  <c r="Q4" i="6"/>
  <c r="Q40" i="6"/>
  <c r="Q60" i="6"/>
  <c r="Q33" i="6"/>
  <c r="Q11" i="6"/>
  <c r="Q12" i="6" s="1"/>
  <c r="Q73" i="6"/>
  <c r="R28" i="6"/>
  <c r="Q66" i="6"/>
  <c r="Q46" i="6"/>
  <c r="Q35" i="10"/>
  <c r="P94" i="6"/>
  <c r="P101" i="6"/>
  <c r="P107" i="6"/>
  <c r="P14" i="37"/>
  <c r="P64" i="12"/>
  <c r="P72" i="12"/>
  <c r="P76" i="12"/>
  <c r="P77" i="12" s="1"/>
  <c r="O18" i="34"/>
  <c r="I57" i="51" s="1"/>
  <c r="O32" i="12"/>
  <c r="O33" i="12" s="1"/>
  <c r="O40" i="12"/>
  <c r="O41" i="12" s="1"/>
  <c r="O13" i="10"/>
  <c r="O14" i="10" s="1"/>
  <c r="D31" i="51" l="1"/>
  <c r="E9" i="49"/>
  <c r="F5" i="51"/>
  <c r="G18" i="49"/>
  <c r="D5" i="51"/>
  <c r="E18" i="49"/>
  <c r="D33" i="51"/>
  <c r="E10" i="49"/>
  <c r="N67" i="20"/>
  <c r="O26" i="31"/>
  <c r="I41" i="51" s="1"/>
  <c r="P11" i="21"/>
  <c r="P13" i="21" s="1"/>
  <c r="O29" i="9"/>
  <c r="L14" i="16"/>
  <c r="L28" i="16"/>
  <c r="M29" i="15"/>
  <c r="M10" i="12"/>
  <c r="M11" i="12" s="1"/>
  <c r="P18" i="37"/>
  <c r="K30" i="49" s="1"/>
  <c r="P23" i="13"/>
  <c r="P31" i="13"/>
  <c r="P84" i="12"/>
  <c r="P62" i="12"/>
  <c r="O8" i="37"/>
  <c r="O16" i="12"/>
  <c r="O34" i="10"/>
  <c r="O41" i="10"/>
  <c r="O43" i="10" s="1"/>
  <c r="O25" i="14" s="1"/>
  <c r="O26" i="14" s="1"/>
  <c r="O21" i="10"/>
  <c r="Q9" i="37"/>
  <c r="Q17" i="12"/>
  <c r="Q22" i="10"/>
  <c r="Q42" i="10"/>
  <c r="Q14" i="37"/>
  <c r="Q76" i="12"/>
  <c r="Q77" i="12" s="1"/>
  <c r="Q64" i="12"/>
  <c r="Q72" i="12"/>
  <c r="O13" i="37"/>
  <c r="O20" i="18"/>
  <c r="O49" i="12"/>
  <c r="O61" i="12"/>
  <c r="Q94" i="6"/>
  <c r="Q101" i="6"/>
  <c r="Q107" i="6"/>
  <c r="M21" i="34"/>
  <c r="G60" i="51" s="1"/>
  <c r="M12" i="18"/>
  <c r="N67" i="6"/>
  <c r="N61" i="6"/>
  <c r="N54" i="6"/>
  <c r="J17" i="31"/>
  <c r="K11" i="16"/>
  <c r="N19" i="37"/>
  <c r="O83" i="12"/>
  <c r="O85" i="12" s="1"/>
  <c r="O224" i="6"/>
  <c r="O203" i="6"/>
  <c r="P40" i="12"/>
  <c r="P41" i="12" s="1"/>
  <c r="P32" i="12"/>
  <c r="P33" i="12" s="1"/>
  <c r="P13" i="10"/>
  <c r="P14" i="10" s="1"/>
  <c r="M25" i="14"/>
  <c r="M26" i="14" s="1"/>
  <c r="R4" i="4"/>
  <c r="R4" i="40"/>
  <c r="R4" i="37"/>
  <c r="R4" i="34"/>
  <c r="R4" i="31"/>
  <c r="R4" i="28"/>
  <c r="R4" i="21"/>
  <c r="R10" i="21"/>
  <c r="R4" i="22"/>
  <c r="R74" i="20"/>
  <c r="R28" i="19"/>
  <c r="R32" i="20"/>
  <c r="R4" i="19"/>
  <c r="R4" i="20"/>
  <c r="R4" i="17"/>
  <c r="R10" i="18"/>
  <c r="R4" i="18"/>
  <c r="R10" i="16"/>
  <c r="R10" i="17"/>
  <c r="R28" i="17"/>
  <c r="R4" i="16"/>
  <c r="R40" i="15"/>
  <c r="R4" i="15"/>
  <c r="R27" i="15"/>
  <c r="R19" i="13"/>
  <c r="R69" i="12"/>
  <c r="R59" i="12"/>
  <c r="R4" i="14"/>
  <c r="R4" i="13"/>
  <c r="R82" i="12"/>
  <c r="R28" i="13"/>
  <c r="R46" i="12"/>
  <c r="R4" i="12"/>
  <c r="R18" i="12"/>
  <c r="R4" i="10"/>
  <c r="R4" i="9"/>
  <c r="R35" i="9"/>
  <c r="R19" i="10"/>
  <c r="R10" i="9"/>
  <c r="R331" i="6"/>
  <c r="R332" i="6" s="1"/>
  <c r="R23" i="11"/>
  <c r="R4" i="11"/>
  <c r="R12" i="10"/>
  <c r="R336" i="6"/>
  <c r="R337" i="6" s="1"/>
  <c r="R4" i="8"/>
  <c r="R296" i="6"/>
  <c r="R297" i="6" s="1"/>
  <c r="R320" i="6"/>
  <c r="R259" i="6"/>
  <c r="R275" i="6"/>
  <c r="R4" i="7"/>
  <c r="R301" i="6"/>
  <c r="R302" i="6" s="1"/>
  <c r="R346" i="6"/>
  <c r="R347" i="6" s="1"/>
  <c r="R351" i="6"/>
  <c r="R352" i="6" s="1"/>
  <c r="R312" i="6"/>
  <c r="R188" i="6"/>
  <c r="R93" i="6"/>
  <c r="R126" i="6"/>
  <c r="R100" i="6"/>
  <c r="R106" i="6"/>
  <c r="R202" i="6"/>
  <c r="R60" i="6"/>
  <c r="R80" i="6"/>
  <c r="R140" i="6"/>
  <c r="R86" i="6"/>
  <c r="R33" i="6"/>
  <c r="R11" i="6"/>
  <c r="R12" i="6" s="1"/>
  <c r="R23" i="6"/>
  <c r="R24" i="6" s="1"/>
  <c r="R4" i="6"/>
  <c r="R73" i="6"/>
  <c r="R53" i="6"/>
  <c r="S28" i="6"/>
  <c r="R66" i="6"/>
  <c r="R46" i="6"/>
  <c r="R40" i="6"/>
  <c r="R35" i="10"/>
  <c r="Q3" i="4"/>
  <c r="Q3" i="40"/>
  <c r="Q3" i="37"/>
  <c r="Q3" i="34"/>
  <c r="Q3" i="31"/>
  <c r="Q3" i="28"/>
  <c r="Q3" i="22"/>
  <c r="Q3" i="20"/>
  <c r="Q3" i="21"/>
  <c r="Q3" i="19"/>
  <c r="Q3" i="18"/>
  <c r="Q3" i="17"/>
  <c r="Q3" i="16"/>
  <c r="Q3" i="14"/>
  <c r="Q3" i="15"/>
  <c r="Q3" i="13"/>
  <c r="Q3" i="11"/>
  <c r="Q3" i="12"/>
  <c r="Q3" i="10"/>
  <c r="Q3" i="9"/>
  <c r="Q3" i="7"/>
  <c r="Q3" i="8"/>
  <c r="Q79" i="6"/>
  <c r="Q99" i="6"/>
  <c r="Q3" i="6"/>
  <c r="Q39" i="6"/>
  <c r="Q59" i="6"/>
  <c r="P18" i="34"/>
  <c r="J57" i="51" s="1"/>
  <c r="M17" i="34"/>
  <c r="G56" i="51" s="1"/>
  <c r="M27" i="17"/>
  <c r="M12" i="17"/>
  <c r="N8" i="37"/>
  <c r="N16" i="12"/>
  <c r="N21" i="10"/>
  <c r="N34" i="10"/>
  <c r="N41" i="10"/>
  <c r="N43" i="10" s="1"/>
  <c r="N25" i="14" s="1"/>
  <c r="N26" i="14" s="1"/>
  <c r="N141" i="6"/>
  <c r="N162" i="6"/>
  <c r="N276" i="6"/>
  <c r="N277" i="6" s="1"/>
  <c r="K27" i="18"/>
  <c r="K28" i="18" s="1"/>
  <c r="K40" i="18"/>
  <c r="K41" i="18" s="1"/>
  <c r="O22" i="17"/>
  <c r="Q74" i="6"/>
  <c r="Q81" i="6"/>
  <c r="Q87" i="6"/>
  <c r="N11" i="37"/>
  <c r="N13" i="15"/>
  <c r="N14" i="15" s="1"/>
  <c r="N20" i="17"/>
  <c r="N21" i="13"/>
  <c r="N39" i="12"/>
  <c r="N48" i="12"/>
  <c r="N17" i="9"/>
  <c r="N18" i="9" s="1"/>
  <c r="N194" i="6"/>
  <c r="N224" i="6"/>
  <c r="N203" i="6"/>
  <c r="M15" i="15"/>
  <c r="M32" i="15"/>
  <c r="O141" i="6"/>
  <c r="O162" i="6"/>
  <c r="O61" i="6"/>
  <c r="O54" i="6"/>
  <c r="O67" i="6"/>
  <c r="P2" i="40"/>
  <c r="P2" i="4"/>
  <c r="P2" i="37"/>
  <c r="P2" i="34"/>
  <c r="P2" i="31"/>
  <c r="P2" i="28"/>
  <c r="P2" i="22"/>
  <c r="P60" i="20"/>
  <c r="P2" i="21"/>
  <c r="P2" i="20"/>
  <c r="P2" i="19"/>
  <c r="P2" i="18"/>
  <c r="P2" i="17"/>
  <c r="P2" i="16"/>
  <c r="P2" i="15"/>
  <c r="P2" i="14"/>
  <c r="P2" i="13"/>
  <c r="P2" i="12"/>
  <c r="P2" i="10"/>
  <c r="P2" i="11"/>
  <c r="P2" i="7"/>
  <c r="P313" i="6"/>
  <c r="Q314" i="6" s="1"/>
  <c r="P241" i="6"/>
  <c r="P243" i="6" s="1"/>
  <c r="P20" i="16" s="1"/>
  <c r="P2" i="8"/>
  <c r="P282" i="6"/>
  <c r="P284" i="6" s="1"/>
  <c r="P276" i="6" s="1"/>
  <c r="P277" i="6" s="1"/>
  <c r="P270" i="6" s="1"/>
  <c r="P249" i="6"/>
  <c r="P251" i="6" s="1"/>
  <c r="P319" i="6"/>
  <c r="P321" i="6" s="1"/>
  <c r="P2" i="9"/>
  <c r="P233" i="6"/>
  <c r="P235" i="6" s="1"/>
  <c r="P209" i="6"/>
  <c r="P120" i="6"/>
  <c r="P122" i="6" s="1"/>
  <c r="P127" i="6" s="1"/>
  <c r="P128" i="6" s="1"/>
  <c r="P132" i="6" s="1"/>
  <c r="P182" i="6"/>
  <c r="P184" i="6" s="1"/>
  <c r="P189" i="6" s="1"/>
  <c r="P190" i="6" s="1"/>
  <c r="P194" i="6" s="1"/>
  <c r="P114" i="6"/>
  <c r="P115" i="6" s="1"/>
  <c r="P92" i="6"/>
  <c r="P176" i="6"/>
  <c r="P177" i="6" s="1"/>
  <c r="P147" i="6"/>
  <c r="P32" i="6"/>
  <c r="P2" i="6"/>
  <c r="P72" i="6"/>
  <c r="P52" i="6"/>
  <c r="P61" i="20"/>
  <c r="P67" i="20" s="1"/>
  <c r="O11" i="37"/>
  <c r="O20" i="17"/>
  <c r="O13" i="15"/>
  <c r="O14" i="15" s="1"/>
  <c r="O39" i="12"/>
  <c r="O21" i="13"/>
  <c r="O48" i="12"/>
  <c r="O17" i="9"/>
  <c r="O18" i="9" s="1"/>
  <c r="N13" i="37"/>
  <c r="N20" i="18"/>
  <c r="N22" i="18" s="1"/>
  <c r="N61" i="12"/>
  <c r="N49" i="12"/>
  <c r="O22" i="18"/>
  <c r="Q53" i="20"/>
  <c r="Q54" i="20" s="1"/>
  <c r="Q58" i="20" s="1"/>
  <c r="Q59" i="20"/>
  <c r="Q290" i="6"/>
  <c r="Q291" i="6" s="1"/>
  <c r="Q283" i="6"/>
  <c r="Q250" i="6"/>
  <c r="Q234" i="6"/>
  <c r="Q242" i="6"/>
  <c r="Q183" i="6"/>
  <c r="Q121" i="6"/>
  <c r="Q18" i="6"/>
  <c r="Q19" i="6" s="1"/>
  <c r="Q34" i="6"/>
  <c r="Q47" i="6"/>
  <c r="Q41" i="6"/>
  <c r="Q29" i="17"/>
  <c r="Q14" i="17"/>
  <c r="L11" i="13"/>
  <c r="L24" i="13"/>
  <c r="N132" i="6"/>
  <c r="N22" i="17"/>
  <c r="J13" i="28"/>
  <c r="K53" i="12"/>
  <c r="K54" i="12" s="1"/>
  <c r="K23" i="10"/>
  <c r="K24" i="10" s="1"/>
  <c r="K11" i="11"/>
  <c r="K12" i="11" s="1"/>
  <c r="K40" i="17"/>
  <c r="K41" i="17" s="1"/>
  <c r="L9" i="19"/>
  <c r="L30" i="15"/>
  <c r="K29" i="13"/>
  <c r="J34" i="13"/>
  <c r="J9" i="31" s="1"/>
  <c r="D24" i="51" s="1"/>
  <c r="K12" i="37"/>
  <c r="F27" i="49" s="1"/>
  <c r="K12" i="13"/>
  <c r="K13" i="13" s="1"/>
  <c r="L47" i="12"/>
  <c r="L14" i="34"/>
  <c r="F53" i="51" s="1"/>
  <c r="D32" i="51" l="1"/>
  <c r="E8" i="49"/>
  <c r="D9" i="51"/>
  <c r="E20" i="49"/>
  <c r="N21" i="34"/>
  <c r="H60" i="51" s="1"/>
  <c r="N12" i="18"/>
  <c r="K10" i="37"/>
  <c r="F26" i="49" s="1"/>
  <c r="K24" i="12"/>
  <c r="K26" i="12" s="1"/>
  <c r="L20" i="10"/>
  <c r="K14" i="13"/>
  <c r="K30" i="13"/>
  <c r="K33" i="13" s="1"/>
  <c r="K16" i="37"/>
  <c r="K63" i="12"/>
  <c r="K65" i="12" s="1"/>
  <c r="K71" i="12"/>
  <c r="K73" i="12" s="1"/>
  <c r="O21" i="34"/>
  <c r="I60" i="51" s="1"/>
  <c r="O12" i="18"/>
  <c r="O15" i="15"/>
  <c r="O14" i="34" s="1"/>
  <c r="I53" i="51" s="1"/>
  <c r="O32" i="15"/>
  <c r="P21" i="17"/>
  <c r="K42" i="18"/>
  <c r="K46" i="18"/>
  <c r="K47" i="18" s="1"/>
  <c r="K33" i="18"/>
  <c r="R101" i="6"/>
  <c r="R107" i="6"/>
  <c r="R94" i="6"/>
  <c r="P26" i="31"/>
  <c r="J41" i="51" s="1"/>
  <c r="Q11" i="21"/>
  <c r="Q13" i="21" s="1"/>
  <c r="P29" i="9"/>
  <c r="K16" i="19"/>
  <c r="K17" i="19" s="1"/>
  <c r="K42" i="15"/>
  <c r="K20" i="15"/>
  <c r="K25" i="11"/>
  <c r="N17" i="34"/>
  <c r="H56" i="51" s="1"/>
  <c r="N27" i="17"/>
  <c r="N12" i="17"/>
  <c r="L8" i="31"/>
  <c r="F23" i="51" s="1"/>
  <c r="M20" i="13"/>
  <c r="K29" i="18"/>
  <c r="K14" i="18"/>
  <c r="N49" i="15"/>
  <c r="N34" i="15"/>
  <c r="N27" i="14"/>
  <c r="N9" i="28" s="1"/>
  <c r="N12" i="14"/>
  <c r="R9" i="37"/>
  <c r="R17" i="12"/>
  <c r="R42" i="10"/>
  <c r="R22" i="10"/>
  <c r="R81" i="6"/>
  <c r="R87" i="6"/>
  <c r="R74" i="6"/>
  <c r="P8" i="37"/>
  <c r="P16" i="12"/>
  <c r="P34" i="10"/>
  <c r="P41" i="10"/>
  <c r="P43" i="10" s="1"/>
  <c r="P21" i="10"/>
  <c r="Q18" i="37"/>
  <c r="L30" i="49" s="1"/>
  <c r="Q31" i="13"/>
  <c r="Q84" i="12"/>
  <c r="Q23" i="13"/>
  <c r="Q62" i="12"/>
  <c r="M9" i="19"/>
  <c r="M30" i="15"/>
  <c r="P21" i="18"/>
  <c r="Q40" i="12"/>
  <c r="Q41" i="12" s="1"/>
  <c r="Q32" i="12"/>
  <c r="Q33" i="12" s="1"/>
  <c r="Q13" i="10"/>
  <c r="Q14" i="10" s="1"/>
  <c r="P203" i="6"/>
  <c r="P224" i="6"/>
  <c r="P54" i="6"/>
  <c r="P67" i="6"/>
  <c r="P61" i="6"/>
  <c r="N29" i="15"/>
  <c r="N10" i="12"/>
  <c r="N11" i="12" s="1"/>
  <c r="R3" i="40"/>
  <c r="R3" i="4"/>
  <c r="R3" i="37"/>
  <c r="R3" i="31"/>
  <c r="R3" i="34"/>
  <c r="R3" i="28"/>
  <c r="R3" i="21"/>
  <c r="R3" i="22"/>
  <c r="R3" i="20"/>
  <c r="R3" i="19"/>
  <c r="R3" i="18"/>
  <c r="R3" i="16"/>
  <c r="R3" i="17"/>
  <c r="R3" i="15"/>
  <c r="R3" i="13"/>
  <c r="R3" i="14"/>
  <c r="R3" i="12"/>
  <c r="R3" i="11"/>
  <c r="R3" i="10"/>
  <c r="R3" i="9"/>
  <c r="R3" i="7"/>
  <c r="R3" i="8"/>
  <c r="R99" i="6"/>
  <c r="R79" i="6"/>
  <c r="R39" i="6"/>
  <c r="R59" i="6"/>
  <c r="R3" i="6"/>
  <c r="R41" i="6"/>
  <c r="R47" i="6"/>
  <c r="R34" i="6"/>
  <c r="R29" i="17"/>
  <c r="R18" i="34" s="1"/>
  <c r="L57" i="51" s="1"/>
  <c r="R14" i="17"/>
  <c r="P11" i="37"/>
  <c r="P20" i="17"/>
  <c r="P13" i="15"/>
  <c r="P14" i="15" s="1"/>
  <c r="P21" i="13"/>
  <c r="P48" i="12"/>
  <c r="P39" i="12"/>
  <c r="P17" i="9"/>
  <c r="P18" i="9" s="1"/>
  <c r="L20" i="34"/>
  <c r="F59" i="51" s="1"/>
  <c r="Q2" i="4"/>
  <c r="Q2" i="37"/>
  <c r="Q2" i="40"/>
  <c r="Q2" i="34"/>
  <c r="Q2" i="31"/>
  <c r="Q2" i="28"/>
  <c r="Q2" i="22"/>
  <c r="Q60" i="20"/>
  <c r="Q2" i="21"/>
  <c r="Q2" i="20"/>
  <c r="Q2" i="19"/>
  <c r="Q2" i="17"/>
  <c r="Q2" i="18"/>
  <c r="Q2" i="15"/>
  <c r="Q2" i="13"/>
  <c r="Q2" i="14"/>
  <c r="Q2" i="16"/>
  <c r="Q2" i="12"/>
  <c r="Q2" i="11"/>
  <c r="Q2" i="10"/>
  <c r="Q241" i="6"/>
  <c r="Q243" i="6" s="1"/>
  <c r="Q20" i="16" s="1"/>
  <c r="Q2" i="8"/>
  <c r="Q282" i="6"/>
  <c r="Q284" i="6" s="1"/>
  <c r="Q249" i="6"/>
  <c r="Q251" i="6" s="1"/>
  <c r="Q21" i="18" s="1"/>
  <c r="Q319" i="6"/>
  <c r="Q321" i="6" s="1"/>
  <c r="Q233" i="6"/>
  <c r="Q235" i="6" s="1"/>
  <c r="Q21" i="17" s="1"/>
  <c r="Q2" i="9"/>
  <c r="Q2" i="7"/>
  <c r="Q313" i="6"/>
  <c r="Q209" i="6"/>
  <c r="Q120" i="6"/>
  <c r="Q122" i="6" s="1"/>
  <c r="Q127" i="6" s="1"/>
  <c r="Q128" i="6" s="1"/>
  <c r="Q182" i="6"/>
  <c r="Q184" i="6" s="1"/>
  <c r="Q189" i="6" s="1"/>
  <c r="Q190" i="6" s="1"/>
  <c r="Q194" i="6" s="1"/>
  <c r="Q114" i="6"/>
  <c r="Q115" i="6" s="1"/>
  <c r="Q92" i="6"/>
  <c r="Q176" i="6"/>
  <c r="Q177" i="6" s="1"/>
  <c r="Q147" i="6"/>
  <c r="Q72" i="6"/>
  <c r="Q2" i="6"/>
  <c r="Q32" i="6"/>
  <c r="Q52" i="6"/>
  <c r="R14" i="37"/>
  <c r="R64" i="12"/>
  <c r="R72" i="12"/>
  <c r="R76" i="12"/>
  <c r="R77" i="12" s="1"/>
  <c r="P13" i="37"/>
  <c r="P20" i="18"/>
  <c r="P49" i="12"/>
  <c r="P61" i="12"/>
  <c r="R59" i="20"/>
  <c r="R53" i="20"/>
  <c r="R54" i="20" s="1"/>
  <c r="R58" i="20" s="1"/>
  <c r="R283" i="6"/>
  <c r="R250" i="6"/>
  <c r="R242" i="6"/>
  <c r="R290" i="6"/>
  <c r="R291" i="6" s="1"/>
  <c r="R183" i="6"/>
  <c r="R234" i="6"/>
  <c r="R121" i="6"/>
  <c r="R18" i="6"/>
  <c r="R19" i="6" s="1"/>
  <c r="K46" i="17"/>
  <c r="K47" i="17" s="1"/>
  <c r="K42" i="17"/>
  <c r="K33" i="17"/>
  <c r="Q61" i="20"/>
  <c r="Q67" i="20" s="1"/>
  <c r="O29" i="15"/>
  <c r="O10" i="12"/>
  <c r="O11" i="12" s="1"/>
  <c r="P141" i="6"/>
  <c r="P162" i="6"/>
  <c r="N270" i="6"/>
  <c r="Q18" i="34"/>
  <c r="K57" i="51" s="1"/>
  <c r="M14" i="34"/>
  <c r="G53" i="51" s="1"/>
  <c r="O49" i="15"/>
  <c r="O12" i="14"/>
  <c r="O34" i="15"/>
  <c r="O27" i="14"/>
  <c r="O9" i="28" s="1"/>
  <c r="O17" i="34"/>
  <c r="I56" i="51" s="1"/>
  <c r="O12" i="17"/>
  <c r="O27" i="17"/>
  <c r="S4" i="4"/>
  <c r="S4" i="40"/>
  <c r="S4" i="37"/>
  <c r="S4" i="34"/>
  <c r="S4" i="31"/>
  <c r="S4" i="28"/>
  <c r="S4" i="22"/>
  <c r="S74" i="20"/>
  <c r="S4" i="21"/>
  <c r="S10" i="21"/>
  <c r="S32" i="20"/>
  <c r="S10" i="18"/>
  <c r="S28" i="19"/>
  <c r="S4" i="19"/>
  <c r="S4" i="18"/>
  <c r="S4" i="20"/>
  <c r="S10" i="17"/>
  <c r="S4" i="15"/>
  <c r="S28" i="17"/>
  <c r="S4" i="17"/>
  <c r="S40" i="15"/>
  <c r="S4" i="16"/>
  <c r="S4" i="14"/>
  <c r="S27" i="15"/>
  <c r="S10" i="16"/>
  <c r="S28" i="13"/>
  <c r="S19" i="13"/>
  <c r="S59" i="12"/>
  <c r="S4" i="13"/>
  <c r="S82" i="12"/>
  <c r="S69" i="12"/>
  <c r="S18" i="12"/>
  <c r="S46" i="12"/>
  <c r="S4" i="12"/>
  <c r="S35" i="9"/>
  <c r="S4" i="8"/>
  <c r="S19" i="10"/>
  <c r="S346" i="6"/>
  <c r="S347" i="6" s="1"/>
  <c r="S23" i="11"/>
  <c r="S4" i="11"/>
  <c r="S12" i="10"/>
  <c r="S4" i="10"/>
  <c r="S4" i="9"/>
  <c r="S4" i="7"/>
  <c r="S351" i="6"/>
  <c r="S352" i="6" s="1"/>
  <c r="S331" i="6"/>
  <c r="S332" i="6" s="1"/>
  <c r="S296" i="6"/>
  <c r="S297" i="6" s="1"/>
  <c r="S336" i="6"/>
  <c r="S337" i="6" s="1"/>
  <c r="S320" i="6"/>
  <c r="S259" i="6"/>
  <c r="S275" i="6"/>
  <c r="S301" i="6"/>
  <c r="S302" i="6" s="1"/>
  <c r="S10" i="9"/>
  <c r="S312" i="6"/>
  <c r="S188" i="6"/>
  <c r="S126" i="6"/>
  <c r="S100" i="6"/>
  <c r="S106" i="6"/>
  <c r="S202" i="6"/>
  <c r="S66" i="6"/>
  <c r="S80" i="6"/>
  <c r="S140" i="6"/>
  <c r="S86" i="6"/>
  <c r="S93" i="6"/>
  <c r="S40" i="6"/>
  <c r="T28" i="6"/>
  <c r="S60" i="6"/>
  <c r="S4" i="6"/>
  <c r="S33" i="6"/>
  <c r="S11" i="6"/>
  <c r="S12" i="6" s="1"/>
  <c r="S73" i="6"/>
  <c r="S53" i="6"/>
  <c r="S46" i="6"/>
  <c r="S23" i="6"/>
  <c r="S24" i="6" s="1"/>
  <c r="S35" i="10"/>
  <c r="L25" i="12"/>
  <c r="L50" i="12"/>
  <c r="N15" i="15"/>
  <c r="N32" i="15"/>
  <c r="R314" i="6"/>
  <c r="M49" i="15"/>
  <c r="M12" i="14"/>
  <c r="M34" i="15"/>
  <c r="M27" i="14"/>
  <c r="O19" i="37"/>
  <c r="P83" i="12"/>
  <c r="P85" i="12" s="1"/>
  <c r="K39" i="16"/>
  <c r="K40" i="16" s="1"/>
  <c r="I5" i="51" l="1"/>
  <c r="J18" i="49"/>
  <c r="I18" i="49"/>
  <c r="H5" i="51"/>
  <c r="S9" i="37"/>
  <c r="S17" i="12"/>
  <c r="S42" i="10"/>
  <c r="S22" i="10"/>
  <c r="R18" i="37"/>
  <c r="M30" i="49" s="1"/>
  <c r="R23" i="13"/>
  <c r="R31" i="13"/>
  <c r="R84" i="12"/>
  <c r="R62" i="12"/>
  <c r="P22" i="18"/>
  <c r="M11" i="13"/>
  <c r="M24" i="13"/>
  <c r="P22" i="17"/>
  <c r="K31" i="12"/>
  <c r="N9" i="19"/>
  <c r="N30" i="15"/>
  <c r="Q8" i="37"/>
  <c r="Q16" i="12"/>
  <c r="Q21" i="10"/>
  <c r="Q34" i="10"/>
  <c r="Q41" i="10"/>
  <c r="Q43" i="10" s="1"/>
  <c r="Q25" i="14" s="1"/>
  <c r="Q26" i="14" s="1"/>
  <c r="K48" i="18"/>
  <c r="K34" i="18"/>
  <c r="K35" i="18" s="1"/>
  <c r="K17" i="37"/>
  <c r="F29" i="49" s="1"/>
  <c r="L70" i="12"/>
  <c r="K17" i="11"/>
  <c r="K18" i="11" s="1"/>
  <c r="M9" i="28"/>
  <c r="T4" i="4"/>
  <c r="T4" i="40"/>
  <c r="T4" i="37"/>
  <c r="T4" i="34"/>
  <c r="T4" i="31"/>
  <c r="T4" i="28"/>
  <c r="T4" i="22"/>
  <c r="T4" i="21"/>
  <c r="T10" i="21"/>
  <c r="T74" i="20"/>
  <c r="T32" i="20"/>
  <c r="T4" i="20"/>
  <c r="T28" i="19"/>
  <c r="T4" i="19"/>
  <c r="T4" i="18"/>
  <c r="T10" i="18"/>
  <c r="T28" i="17"/>
  <c r="T10" i="17"/>
  <c r="T27" i="15"/>
  <c r="T4" i="17"/>
  <c r="T40" i="15"/>
  <c r="T4" i="15"/>
  <c r="T4" i="16"/>
  <c r="T4" i="14"/>
  <c r="T10" i="16"/>
  <c r="T19" i="13"/>
  <c r="T4" i="13"/>
  <c r="T82" i="12"/>
  <c r="T28" i="13"/>
  <c r="T46" i="12"/>
  <c r="T23" i="11"/>
  <c r="T69" i="12"/>
  <c r="T18" i="12"/>
  <c r="T4" i="12"/>
  <c r="T59" i="12"/>
  <c r="T19" i="10"/>
  <c r="T4" i="11"/>
  <c r="T12" i="10"/>
  <c r="T4" i="10"/>
  <c r="T35" i="9"/>
  <c r="T4" i="8"/>
  <c r="T320" i="6"/>
  <c r="T336" i="6"/>
  <c r="T337" i="6" s="1"/>
  <c r="T259" i="6"/>
  <c r="T4" i="9"/>
  <c r="T275" i="6"/>
  <c r="T301" i="6"/>
  <c r="T302" i="6" s="1"/>
  <c r="T10" i="9"/>
  <c r="T4" i="7"/>
  <c r="T202" i="6"/>
  <c r="T346" i="6"/>
  <c r="T347" i="6" s="1"/>
  <c r="T312" i="6"/>
  <c r="T351" i="6"/>
  <c r="T352" i="6" s="1"/>
  <c r="T331" i="6"/>
  <c r="T332" i="6" s="1"/>
  <c r="T296" i="6"/>
  <c r="T297" i="6" s="1"/>
  <c r="T106" i="6"/>
  <c r="T73" i="6"/>
  <c r="T80" i="6"/>
  <c r="T140" i="6"/>
  <c r="T86" i="6"/>
  <c r="T93" i="6"/>
  <c r="T188" i="6"/>
  <c r="T126" i="6"/>
  <c r="T100" i="6"/>
  <c r="T46" i="6"/>
  <c r="T33" i="6"/>
  <c r="T53" i="6"/>
  <c r="U28" i="6"/>
  <c r="T66" i="6"/>
  <c r="T40" i="6"/>
  <c r="T23" i="6"/>
  <c r="T24" i="6" s="1"/>
  <c r="T60" i="6"/>
  <c r="T4" i="6"/>
  <c r="T11" i="6"/>
  <c r="T12" i="6" s="1"/>
  <c r="T35" i="10"/>
  <c r="N14" i="34"/>
  <c r="H53" i="51" s="1"/>
  <c r="R32" i="12"/>
  <c r="R33" i="12" s="1"/>
  <c r="R40" i="12"/>
  <c r="R41" i="12" s="1"/>
  <c r="R13" i="10"/>
  <c r="R14" i="10" s="1"/>
  <c r="Q224" i="6"/>
  <c r="Q203" i="6"/>
  <c r="Q11" i="37"/>
  <c r="Q20" i="17"/>
  <c r="Q22" i="17" s="1"/>
  <c r="Q13" i="15"/>
  <c r="Q14" i="15" s="1"/>
  <c r="Q39" i="12"/>
  <c r="Q48" i="12"/>
  <c r="Q21" i="13"/>
  <c r="Q17" i="9"/>
  <c r="Q18" i="9" s="1"/>
  <c r="P25" i="14"/>
  <c r="P26" i="14" s="1"/>
  <c r="K21" i="19"/>
  <c r="K43" i="15"/>
  <c r="K45" i="15" s="1"/>
  <c r="K21" i="15"/>
  <c r="M22" i="15" s="1"/>
  <c r="K18" i="28"/>
  <c r="K15" i="37"/>
  <c r="F28" i="49" s="1"/>
  <c r="L60" i="12"/>
  <c r="K34" i="13"/>
  <c r="K9" i="31" s="1"/>
  <c r="E24" i="51" s="1"/>
  <c r="L29" i="13"/>
  <c r="P32" i="15"/>
  <c r="P15" i="15"/>
  <c r="Q13" i="37"/>
  <c r="Q20" i="18"/>
  <c r="Q49" i="12"/>
  <c r="Q61" i="12"/>
  <c r="K32" i="16"/>
  <c r="K45" i="16"/>
  <c r="K46" i="16" s="1"/>
  <c r="K41" i="16"/>
  <c r="S14" i="37"/>
  <c r="S64" i="12"/>
  <c r="S72" i="12"/>
  <c r="S76" i="12"/>
  <c r="S77" i="12" s="1"/>
  <c r="K16" i="28"/>
  <c r="Q162" i="6"/>
  <c r="Q141" i="6"/>
  <c r="Q61" i="6"/>
  <c r="Q54" i="6"/>
  <c r="Q67" i="6"/>
  <c r="K22" i="34"/>
  <c r="E61" i="51" s="1"/>
  <c r="L12" i="37"/>
  <c r="G27" i="49" s="1"/>
  <c r="L12" i="13"/>
  <c r="L13" i="13" s="1"/>
  <c r="M47" i="12"/>
  <c r="S59" i="20"/>
  <c r="S53" i="20"/>
  <c r="S54" i="20" s="1"/>
  <c r="S58" i="20" s="1"/>
  <c r="S250" i="6"/>
  <c r="S242" i="6"/>
  <c r="S290" i="6"/>
  <c r="S291" i="6" s="1"/>
  <c r="S283" i="6"/>
  <c r="S234" i="6"/>
  <c r="S121" i="6"/>
  <c r="S183" i="6"/>
  <c r="S18" i="6"/>
  <c r="S19" i="6" s="1"/>
  <c r="K34" i="17"/>
  <c r="K35" i="17" s="1"/>
  <c r="K48" i="17"/>
  <c r="Q22" i="18"/>
  <c r="Q26" i="31"/>
  <c r="K41" i="51" s="1"/>
  <c r="R11" i="21"/>
  <c r="R13" i="21" s="1"/>
  <c r="Q29" i="9"/>
  <c r="S3" i="40"/>
  <c r="S3" i="4"/>
  <c r="S3" i="37"/>
  <c r="S3" i="34"/>
  <c r="S3" i="31"/>
  <c r="S3" i="28"/>
  <c r="S3" i="22"/>
  <c r="S3" i="21"/>
  <c r="S3" i="19"/>
  <c r="S3" i="20"/>
  <c r="S3" i="18"/>
  <c r="S3" i="17"/>
  <c r="S3" i="14"/>
  <c r="S3" i="16"/>
  <c r="S3" i="15"/>
  <c r="S3" i="13"/>
  <c r="S3" i="12"/>
  <c r="S3" i="11"/>
  <c r="S3" i="10"/>
  <c r="S3" i="8"/>
  <c r="S3" i="9"/>
  <c r="S3" i="7"/>
  <c r="S99" i="6"/>
  <c r="S59" i="6"/>
  <c r="S79" i="6"/>
  <c r="S39" i="6"/>
  <c r="S3" i="6"/>
  <c r="S14" i="17"/>
  <c r="S29" i="17"/>
  <c r="P19" i="37"/>
  <c r="Q83" i="12"/>
  <c r="Q85" i="12" s="1"/>
  <c r="S107" i="6"/>
  <c r="S94" i="6"/>
  <c r="S101" i="6"/>
  <c r="R2" i="4"/>
  <c r="R2" i="40"/>
  <c r="R2" i="37"/>
  <c r="R2" i="34"/>
  <c r="R2" i="31"/>
  <c r="R2" i="28"/>
  <c r="R2" i="21"/>
  <c r="R2" i="22"/>
  <c r="R60" i="20"/>
  <c r="R2" i="20"/>
  <c r="R2" i="19"/>
  <c r="R2" i="17"/>
  <c r="R2" i="18"/>
  <c r="R2" i="16"/>
  <c r="R2" i="15"/>
  <c r="R2" i="13"/>
  <c r="R2" i="14"/>
  <c r="R2" i="12"/>
  <c r="R2" i="10"/>
  <c r="R2" i="9"/>
  <c r="R2" i="11"/>
  <c r="R2" i="8"/>
  <c r="R282" i="6"/>
  <c r="R284" i="6" s="1"/>
  <c r="R276" i="6" s="1"/>
  <c r="R277" i="6" s="1"/>
  <c r="R270" i="6" s="1"/>
  <c r="R249" i="6"/>
  <c r="R251" i="6" s="1"/>
  <c r="R319" i="6"/>
  <c r="R321" i="6" s="1"/>
  <c r="R233" i="6"/>
  <c r="R235" i="6" s="1"/>
  <c r="R21" i="17" s="1"/>
  <c r="R209" i="6"/>
  <c r="R2" i="7"/>
  <c r="R313" i="6"/>
  <c r="S314" i="6" s="1"/>
  <c r="R241" i="6"/>
  <c r="R243" i="6" s="1"/>
  <c r="R20" i="16" s="1"/>
  <c r="R182" i="6"/>
  <c r="R184" i="6" s="1"/>
  <c r="R189" i="6" s="1"/>
  <c r="R190" i="6" s="1"/>
  <c r="R120" i="6"/>
  <c r="R122" i="6" s="1"/>
  <c r="R127" i="6" s="1"/>
  <c r="R128" i="6" s="1"/>
  <c r="R132" i="6" s="1"/>
  <c r="R114" i="6"/>
  <c r="R115" i="6" s="1"/>
  <c r="R92" i="6"/>
  <c r="R52" i="6"/>
  <c r="R176" i="6"/>
  <c r="R177" i="6" s="1"/>
  <c r="R147" i="6"/>
  <c r="R32" i="6"/>
  <c r="R2" i="6"/>
  <c r="R72" i="6"/>
  <c r="R61" i="20"/>
  <c r="R67" i="20" s="1"/>
  <c r="Q132" i="6"/>
  <c r="Q276" i="6"/>
  <c r="Q277" i="6" s="1"/>
  <c r="K13" i="28"/>
  <c r="S74" i="6"/>
  <c r="S81" i="6"/>
  <c r="S87" i="6"/>
  <c r="S47" i="6"/>
  <c r="S41" i="6"/>
  <c r="S34" i="6"/>
  <c r="O9" i="19"/>
  <c r="O30" i="15"/>
  <c r="P29" i="15"/>
  <c r="P10" i="12"/>
  <c r="P11" i="12" s="1"/>
  <c r="L28" i="10"/>
  <c r="E9" i="51" l="1"/>
  <c r="F20" i="49"/>
  <c r="G5" i="51"/>
  <c r="H18" i="49"/>
  <c r="E12" i="51"/>
  <c r="F21" i="49"/>
  <c r="E14" i="51"/>
  <c r="F23" i="49"/>
  <c r="M8" i="34"/>
  <c r="G47" i="51" s="1"/>
  <c r="M44" i="15"/>
  <c r="K13" i="17"/>
  <c r="K15" i="17" s="1"/>
  <c r="K10" i="31"/>
  <c r="E25" i="51" s="1"/>
  <c r="L41" i="15"/>
  <c r="Q17" i="34"/>
  <c r="K56" i="51" s="1"/>
  <c r="Q27" i="17"/>
  <c r="Q12" i="17"/>
  <c r="Q21" i="34"/>
  <c r="K60" i="51" s="1"/>
  <c r="Q12" i="18"/>
  <c r="R13" i="37"/>
  <c r="R20" i="18"/>
  <c r="R49" i="12"/>
  <c r="R61" i="12"/>
  <c r="T9" i="37"/>
  <c r="T17" i="12"/>
  <c r="T42" i="10"/>
  <c r="T22" i="10"/>
  <c r="U4" i="4"/>
  <c r="U4" i="40"/>
  <c r="U4" i="37"/>
  <c r="U4" i="34"/>
  <c r="U4" i="31"/>
  <c r="U4" i="28"/>
  <c r="U4" i="22"/>
  <c r="U10" i="21"/>
  <c r="U4" i="20"/>
  <c r="U74" i="20"/>
  <c r="U4" i="21"/>
  <c r="U4" i="19"/>
  <c r="U32" i="20"/>
  <c r="U28" i="19"/>
  <c r="U10" i="18"/>
  <c r="U10" i="17"/>
  <c r="U4" i="18"/>
  <c r="U28" i="17"/>
  <c r="U4" i="17"/>
  <c r="U40" i="15"/>
  <c r="U4" i="15"/>
  <c r="U4" i="16"/>
  <c r="U4" i="14"/>
  <c r="U10" i="16"/>
  <c r="U27" i="15"/>
  <c r="U19" i="13"/>
  <c r="U4" i="13"/>
  <c r="U82" i="12"/>
  <c r="U28" i="13"/>
  <c r="U46" i="12"/>
  <c r="U4" i="11"/>
  <c r="U69" i="12"/>
  <c r="U18" i="12"/>
  <c r="U4" i="12"/>
  <c r="U59" i="12"/>
  <c r="U23" i="11"/>
  <c r="U19" i="10"/>
  <c r="U12" i="10"/>
  <c r="U336" i="6"/>
  <c r="U337" i="6" s="1"/>
  <c r="U4" i="10"/>
  <c r="U4" i="9"/>
  <c r="U35" i="9"/>
  <c r="U320" i="6"/>
  <c r="U275" i="6"/>
  <c r="U301" i="6"/>
  <c r="U302" i="6" s="1"/>
  <c r="U10" i="9"/>
  <c r="U4" i="7"/>
  <c r="U346" i="6"/>
  <c r="U347" i="6" s="1"/>
  <c r="U312" i="6"/>
  <c r="U351" i="6"/>
  <c r="U352" i="6" s="1"/>
  <c r="U331" i="6"/>
  <c r="U332" i="6" s="1"/>
  <c r="U296" i="6"/>
  <c r="U297" i="6" s="1"/>
  <c r="U4" i="8"/>
  <c r="U259" i="6"/>
  <c r="U202" i="6"/>
  <c r="U80" i="6"/>
  <c r="U4" i="6"/>
  <c r="U140" i="6"/>
  <c r="U86" i="6"/>
  <c r="U93" i="6"/>
  <c r="U188" i="6"/>
  <c r="U126" i="6"/>
  <c r="U100" i="6"/>
  <c r="U106" i="6"/>
  <c r="U53" i="6"/>
  <c r="U23" i="6"/>
  <c r="U24" i="6" s="1"/>
  <c r="U73" i="6"/>
  <c r="V28" i="6"/>
  <c r="U66" i="6"/>
  <c r="U46" i="6"/>
  <c r="U40" i="6"/>
  <c r="U60" i="6"/>
  <c r="U33" i="6"/>
  <c r="U11" i="6"/>
  <c r="U12" i="6" s="1"/>
  <c r="U35" i="10"/>
  <c r="K8" i="28"/>
  <c r="K19" i="16"/>
  <c r="K21" i="16" s="1"/>
  <c r="K26" i="11"/>
  <c r="K27" i="11" s="1"/>
  <c r="P21" i="34"/>
  <c r="J60" i="51" s="1"/>
  <c r="P12" i="18"/>
  <c r="R162" i="6"/>
  <c r="R141" i="6"/>
  <c r="R67" i="6"/>
  <c r="R54" i="6"/>
  <c r="R61" i="6"/>
  <c r="S18" i="34"/>
  <c r="M57" i="51" s="1"/>
  <c r="S2" i="4"/>
  <c r="S2" i="40"/>
  <c r="S2" i="37"/>
  <c r="S2" i="34"/>
  <c r="S2" i="28"/>
  <c r="S2" i="31"/>
  <c r="S2" i="22"/>
  <c r="S60" i="20"/>
  <c r="S2" i="21"/>
  <c r="S2" i="20"/>
  <c r="S2" i="18"/>
  <c r="S2" i="19"/>
  <c r="S2" i="17"/>
  <c r="S2" i="15"/>
  <c r="S2" i="16"/>
  <c r="S2" i="14"/>
  <c r="S2" i="13"/>
  <c r="S2" i="12"/>
  <c r="S2" i="11"/>
  <c r="S2" i="10"/>
  <c r="S2" i="9"/>
  <c r="S2" i="7"/>
  <c r="S282" i="6"/>
  <c r="S284" i="6" s="1"/>
  <c r="S276" i="6" s="1"/>
  <c r="S277" i="6" s="1"/>
  <c r="S270" i="6" s="1"/>
  <c r="S249" i="6"/>
  <c r="S251" i="6" s="1"/>
  <c r="S21" i="18" s="1"/>
  <c r="S319" i="6"/>
  <c r="S321" i="6" s="1"/>
  <c r="S313" i="6"/>
  <c r="T314" i="6" s="1"/>
  <c r="S241" i="6"/>
  <c r="S243" i="6" s="1"/>
  <c r="S20" i="16" s="1"/>
  <c r="S2" i="8"/>
  <c r="S176" i="6"/>
  <c r="S177" i="6" s="1"/>
  <c r="S114" i="6"/>
  <c r="S115" i="6" s="1"/>
  <c r="S92" i="6"/>
  <c r="S182" i="6"/>
  <c r="S184" i="6" s="1"/>
  <c r="S189" i="6" s="1"/>
  <c r="S190" i="6" s="1"/>
  <c r="S194" i="6" s="1"/>
  <c r="S147" i="6"/>
  <c r="S233" i="6"/>
  <c r="S235" i="6" s="1"/>
  <c r="S21" i="17" s="1"/>
  <c r="S209" i="6"/>
  <c r="S120" i="6"/>
  <c r="S122" i="6" s="1"/>
  <c r="S127" i="6" s="1"/>
  <c r="S128" i="6" s="1"/>
  <c r="S32" i="6"/>
  <c r="S2" i="6"/>
  <c r="S72" i="6"/>
  <c r="S52" i="6"/>
  <c r="S61" i="20"/>
  <c r="S67" i="20" s="1"/>
  <c r="M25" i="12"/>
  <c r="M50" i="12"/>
  <c r="P14" i="34"/>
  <c r="J53" i="51" s="1"/>
  <c r="L27" i="10"/>
  <c r="L29" i="10" s="1"/>
  <c r="P34" i="15"/>
  <c r="P27" i="14"/>
  <c r="P49" i="15"/>
  <c r="P12" i="14"/>
  <c r="Q15" i="15"/>
  <c r="Q32" i="15"/>
  <c r="R11" i="37"/>
  <c r="R20" i="17"/>
  <c r="R22" i="17" s="1"/>
  <c r="R13" i="15"/>
  <c r="R14" i="15" s="1"/>
  <c r="R39" i="12"/>
  <c r="R48" i="12"/>
  <c r="R21" i="13"/>
  <c r="R17" i="9"/>
  <c r="R18" i="9" s="1"/>
  <c r="T74" i="6"/>
  <c r="T81" i="6"/>
  <c r="T87" i="6"/>
  <c r="M8" i="31"/>
  <c r="G23" i="51" s="1"/>
  <c r="N20" i="13"/>
  <c r="R21" i="18"/>
  <c r="R22" i="18" s="1"/>
  <c r="R26" i="31"/>
  <c r="L41" i="51" s="1"/>
  <c r="S11" i="21"/>
  <c r="S13" i="21" s="1"/>
  <c r="R29" i="9"/>
  <c r="K23" i="34"/>
  <c r="E62" i="51" s="1"/>
  <c r="L14" i="13"/>
  <c r="L30" i="13"/>
  <c r="L33" i="13" s="1"/>
  <c r="T59" i="20"/>
  <c r="T53" i="20"/>
  <c r="T54" i="20" s="1"/>
  <c r="T58" i="20" s="1"/>
  <c r="T234" i="6"/>
  <c r="T242" i="6"/>
  <c r="T183" i="6"/>
  <c r="T290" i="6"/>
  <c r="T291" i="6" s="1"/>
  <c r="T283" i="6"/>
  <c r="T250" i="6"/>
  <c r="T121" i="6"/>
  <c r="T18" i="6"/>
  <c r="T19" i="6" s="1"/>
  <c r="P17" i="34"/>
  <c r="J56" i="51" s="1"/>
  <c r="P12" i="17"/>
  <c r="P27" i="17"/>
  <c r="K17" i="28"/>
  <c r="T14" i="37"/>
  <c r="T72" i="12"/>
  <c r="T76" i="12"/>
  <c r="T77" i="12" s="1"/>
  <c r="T64" i="12"/>
  <c r="K13" i="18"/>
  <c r="K15" i="18" s="1"/>
  <c r="R194" i="6"/>
  <c r="K47" i="16"/>
  <c r="K33" i="16"/>
  <c r="K34" i="16" s="1"/>
  <c r="P9" i="19"/>
  <c r="P30" i="15"/>
  <c r="S18" i="37"/>
  <c r="N30" i="49" s="1"/>
  <c r="S23" i="13"/>
  <c r="S31" i="13"/>
  <c r="S84" i="12"/>
  <c r="S62" i="12"/>
  <c r="Q29" i="15"/>
  <c r="Q10" i="12"/>
  <c r="Q11" i="12" s="1"/>
  <c r="T3" i="40"/>
  <c r="T3" i="4"/>
  <c r="T3" i="37"/>
  <c r="T3" i="34"/>
  <c r="T3" i="31"/>
  <c r="T3" i="28"/>
  <c r="T3" i="22"/>
  <c r="T3" i="21"/>
  <c r="T3" i="20"/>
  <c r="T3" i="19"/>
  <c r="T3" i="18"/>
  <c r="T3" i="17"/>
  <c r="T3" i="16"/>
  <c r="T3" i="15"/>
  <c r="T3" i="14"/>
  <c r="T3" i="13"/>
  <c r="T3" i="12"/>
  <c r="T3" i="10"/>
  <c r="T3" i="11"/>
  <c r="T3" i="7"/>
  <c r="T3" i="8"/>
  <c r="T3" i="9"/>
  <c r="T99" i="6"/>
  <c r="T79" i="6"/>
  <c r="T39" i="6"/>
  <c r="T59" i="6"/>
  <c r="T3" i="6"/>
  <c r="T47" i="6"/>
  <c r="T41" i="6"/>
  <c r="T34" i="6"/>
  <c r="T14" i="17"/>
  <c r="T29" i="17"/>
  <c r="T18" i="34" s="1"/>
  <c r="N57" i="51" s="1"/>
  <c r="K25" i="34"/>
  <c r="E64" i="51" s="1"/>
  <c r="Q34" i="15"/>
  <c r="Q27" i="14"/>
  <c r="Q9" i="28" s="1"/>
  <c r="Q49" i="15"/>
  <c r="Q12" i="14"/>
  <c r="Q270" i="6"/>
  <c r="R224" i="6"/>
  <c r="R203" i="6"/>
  <c r="S32" i="12"/>
  <c r="S33" i="12" s="1"/>
  <c r="S40" i="12"/>
  <c r="S41" i="12" s="1"/>
  <c r="S13" i="10"/>
  <c r="S14" i="10" s="1"/>
  <c r="Q19" i="37"/>
  <c r="R83" i="12"/>
  <c r="R85" i="12" s="1"/>
  <c r="R8" i="37"/>
  <c r="R16" i="12"/>
  <c r="R34" i="10"/>
  <c r="R41" i="10"/>
  <c r="R43" i="10" s="1"/>
  <c r="R21" i="10"/>
  <c r="T94" i="6"/>
  <c r="T101" i="6"/>
  <c r="T107" i="6"/>
  <c r="E4" i="51" l="1"/>
  <c r="F12" i="49"/>
  <c r="E13" i="51"/>
  <c r="F22" i="49"/>
  <c r="K5" i="51"/>
  <c r="L18" i="49"/>
  <c r="K13" i="16"/>
  <c r="R17" i="34"/>
  <c r="L56" i="51" s="1"/>
  <c r="R12" i="17"/>
  <c r="R27" i="17"/>
  <c r="K18" i="31"/>
  <c r="L11" i="18"/>
  <c r="K24" i="34"/>
  <c r="E63" i="51" s="1"/>
  <c r="L13" i="28"/>
  <c r="S26" i="31"/>
  <c r="M41" i="51" s="1"/>
  <c r="T11" i="21"/>
  <c r="T13" i="21" s="1"/>
  <c r="S29" i="9"/>
  <c r="M12" i="37"/>
  <c r="H27" i="49" s="1"/>
  <c r="M12" i="13"/>
  <c r="M13" i="13" s="1"/>
  <c r="N47" i="12"/>
  <c r="U9" i="37"/>
  <c r="U17" i="12"/>
  <c r="U42" i="10"/>
  <c r="U22" i="10"/>
  <c r="L34" i="13"/>
  <c r="M29" i="13"/>
  <c r="K14" i="31"/>
  <c r="E29" i="51" s="1"/>
  <c r="L24" i="11"/>
  <c r="U53" i="20"/>
  <c r="U54" i="20" s="1"/>
  <c r="U58" i="20" s="1"/>
  <c r="U59" i="20"/>
  <c r="U234" i="6"/>
  <c r="U242" i="6"/>
  <c r="U290" i="6"/>
  <c r="U291" i="6" s="1"/>
  <c r="U283" i="6"/>
  <c r="U250" i="6"/>
  <c r="U121" i="6"/>
  <c r="U183" i="6"/>
  <c r="U18" i="6"/>
  <c r="U19" i="6" s="1"/>
  <c r="U3" i="4"/>
  <c r="U3" i="40"/>
  <c r="U3" i="37"/>
  <c r="U3" i="34"/>
  <c r="U3" i="31"/>
  <c r="U3" i="22"/>
  <c r="U3" i="28"/>
  <c r="U3" i="21"/>
  <c r="U3" i="20"/>
  <c r="U3" i="19"/>
  <c r="U3" i="17"/>
  <c r="U3" i="18"/>
  <c r="U3" i="15"/>
  <c r="U3" i="13"/>
  <c r="U3" i="14"/>
  <c r="U3" i="16"/>
  <c r="U3" i="12"/>
  <c r="U3" i="11"/>
  <c r="U3" i="10"/>
  <c r="U3" i="8"/>
  <c r="U3" i="9"/>
  <c r="U3" i="7"/>
  <c r="U79" i="6"/>
  <c r="U99" i="6"/>
  <c r="U3" i="6"/>
  <c r="U59" i="6"/>
  <c r="U39" i="6"/>
  <c r="U94" i="6"/>
  <c r="U101" i="6"/>
  <c r="U107" i="6"/>
  <c r="T18" i="37"/>
  <c r="O30" i="49" s="1"/>
  <c r="T31" i="13"/>
  <c r="T23" i="13"/>
  <c r="T84" i="12"/>
  <c r="T62" i="12"/>
  <c r="T2" i="40"/>
  <c r="T2" i="4"/>
  <c r="T2" i="37"/>
  <c r="T2" i="34"/>
  <c r="T2" i="31"/>
  <c r="T2" i="28"/>
  <c r="T2" i="22"/>
  <c r="T60" i="20"/>
  <c r="T2" i="21"/>
  <c r="T2" i="20"/>
  <c r="T2" i="18"/>
  <c r="T2" i="19"/>
  <c r="T2" i="17"/>
  <c r="T2" i="14"/>
  <c r="T2" i="16"/>
  <c r="T2" i="15"/>
  <c r="T2" i="13"/>
  <c r="T2" i="12"/>
  <c r="T2" i="11"/>
  <c r="T2" i="10"/>
  <c r="T2" i="8"/>
  <c r="T249" i="6"/>
  <c r="T251" i="6" s="1"/>
  <c r="T21" i="18" s="1"/>
  <c r="T319" i="6"/>
  <c r="T321" i="6" s="1"/>
  <c r="T313" i="6"/>
  <c r="T2" i="9"/>
  <c r="T2" i="7"/>
  <c r="T241" i="6"/>
  <c r="T243" i="6" s="1"/>
  <c r="T20" i="16" s="1"/>
  <c r="T282" i="6"/>
  <c r="T284" i="6" s="1"/>
  <c r="T276" i="6" s="1"/>
  <c r="T277" i="6" s="1"/>
  <c r="T182" i="6"/>
  <c r="T184" i="6" s="1"/>
  <c r="T189" i="6" s="1"/>
  <c r="T190" i="6" s="1"/>
  <c r="T194" i="6" s="1"/>
  <c r="T176" i="6"/>
  <c r="T177" i="6" s="1"/>
  <c r="T147" i="6"/>
  <c r="T233" i="6"/>
  <c r="T235" i="6" s="1"/>
  <c r="T21" i="17" s="1"/>
  <c r="T209" i="6"/>
  <c r="T120" i="6"/>
  <c r="T122" i="6" s="1"/>
  <c r="T127" i="6" s="1"/>
  <c r="T128" i="6" s="1"/>
  <c r="T132" i="6" s="1"/>
  <c r="T114" i="6"/>
  <c r="T115" i="6" s="1"/>
  <c r="T92" i="6"/>
  <c r="T2" i="6"/>
  <c r="T32" i="6"/>
  <c r="T72" i="6"/>
  <c r="T52" i="6"/>
  <c r="T61" i="20"/>
  <c r="T67" i="20" s="1"/>
  <c r="R15" i="15"/>
  <c r="R14" i="34" s="1"/>
  <c r="L53" i="51" s="1"/>
  <c r="R32" i="15"/>
  <c r="P9" i="28"/>
  <c r="S54" i="6"/>
  <c r="S67" i="6"/>
  <c r="S61" i="6"/>
  <c r="K19" i="34"/>
  <c r="E58" i="51" s="1"/>
  <c r="K26" i="16"/>
  <c r="M27" i="16" s="1"/>
  <c r="K12" i="16"/>
  <c r="K15" i="16" s="1"/>
  <c r="U314" i="6"/>
  <c r="U14" i="37"/>
  <c r="U72" i="12"/>
  <c r="U76" i="12"/>
  <c r="U77" i="12" s="1"/>
  <c r="U64" i="12"/>
  <c r="U29" i="17"/>
  <c r="U18" i="34" s="1"/>
  <c r="O57" i="51" s="1"/>
  <c r="U14" i="17"/>
  <c r="R19" i="37"/>
  <c r="S83" i="12"/>
  <c r="S85" i="12" s="1"/>
  <c r="S8" i="37"/>
  <c r="S16" i="12"/>
  <c r="S41" i="10"/>
  <c r="S43" i="10" s="1"/>
  <c r="S25" i="14" s="1"/>
  <c r="S26" i="14" s="1"/>
  <c r="S21" i="10"/>
  <c r="S34" i="10"/>
  <c r="U74" i="6"/>
  <c r="U81" i="6"/>
  <c r="U87" i="6"/>
  <c r="S13" i="37"/>
  <c r="S20" i="18"/>
  <c r="S22" i="18" s="1"/>
  <c r="S61" i="12"/>
  <c r="S49" i="12"/>
  <c r="Q9" i="19"/>
  <c r="Q30" i="15"/>
  <c r="R21" i="34"/>
  <c r="L60" i="51" s="1"/>
  <c r="R12" i="18"/>
  <c r="S162" i="6"/>
  <c r="S141" i="6"/>
  <c r="K16" i="31"/>
  <c r="L11" i="17"/>
  <c r="R25" i="14"/>
  <c r="R26" i="14" s="1"/>
  <c r="S11" i="37"/>
  <c r="S20" i="17"/>
  <c r="S22" i="17" s="1"/>
  <c r="S13" i="15"/>
  <c r="S14" i="15" s="1"/>
  <c r="S48" i="12"/>
  <c r="S21" i="13"/>
  <c r="S39" i="12"/>
  <c r="S17" i="9"/>
  <c r="S18" i="9" s="1"/>
  <c r="T32" i="12"/>
  <c r="T33" i="12" s="1"/>
  <c r="T40" i="12"/>
  <c r="T41" i="12" s="1"/>
  <c r="T13" i="10"/>
  <c r="T14" i="10" s="1"/>
  <c r="R29" i="15"/>
  <c r="R10" i="12"/>
  <c r="R11" i="12" s="1"/>
  <c r="Q14" i="34"/>
  <c r="K53" i="51" s="1"/>
  <c r="L53" i="12"/>
  <c r="L54" i="12" s="1"/>
  <c r="L23" i="10"/>
  <c r="L24" i="10" s="1"/>
  <c r="L11" i="11"/>
  <c r="L12" i="11" s="1"/>
  <c r="S203" i="6"/>
  <c r="S224" i="6"/>
  <c r="U34" i="6"/>
  <c r="U47" i="6"/>
  <c r="U41" i="6"/>
  <c r="N11" i="13"/>
  <c r="N24" i="13"/>
  <c r="S132" i="6"/>
  <c r="V4" i="4"/>
  <c r="V4" i="40"/>
  <c r="V4" i="37"/>
  <c r="V4" i="34"/>
  <c r="V4" i="31"/>
  <c r="V4" i="28"/>
  <c r="V10" i="21"/>
  <c r="V4" i="21"/>
  <c r="V4" i="22"/>
  <c r="V74" i="20"/>
  <c r="V32" i="20"/>
  <c r="V4" i="20"/>
  <c r="V28" i="19"/>
  <c r="V4" i="19"/>
  <c r="V10" i="18"/>
  <c r="V10" i="17"/>
  <c r="V4" i="18"/>
  <c r="V4" i="16"/>
  <c r="V28" i="17"/>
  <c r="V4" i="17"/>
  <c r="V10" i="16"/>
  <c r="V4" i="15"/>
  <c r="V27" i="15"/>
  <c r="V40" i="15"/>
  <c r="V19" i="13"/>
  <c r="V82" i="12"/>
  <c r="V4" i="13"/>
  <c r="V4" i="14"/>
  <c r="V28" i="13"/>
  <c r="V46" i="12"/>
  <c r="V69" i="12"/>
  <c r="V18" i="12"/>
  <c r="V4" i="12"/>
  <c r="V59" i="12"/>
  <c r="V23" i="11"/>
  <c r="V4" i="11"/>
  <c r="V19" i="10"/>
  <c r="V10" i="9"/>
  <c r="V12" i="10"/>
  <c r="V4" i="10"/>
  <c r="V4" i="9"/>
  <c r="V4" i="7"/>
  <c r="V351" i="6"/>
  <c r="V352" i="6" s="1"/>
  <c r="V35" i="9"/>
  <c r="V4" i="8"/>
  <c r="V301" i="6"/>
  <c r="V302" i="6" s="1"/>
  <c r="V346" i="6"/>
  <c r="V347" i="6" s="1"/>
  <c r="V312" i="6"/>
  <c r="V188" i="6"/>
  <c r="V331" i="6"/>
  <c r="V332" i="6" s="1"/>
  <c r="V296" i="6"/>
  <c r="V297" i="6" s="1"/>
  <c r="V259" i="6"/>
  <c r="V336" i="6"/>
  <c r="V337" i="6" s="1"/>
  <c r="V320" i="6"/>
  <c r="V275" i="6"/>
  <c r="V202" i="6"/>
  <c r="V80" i="6"/>
  <c r="V140" i="6"/>
  <c r="V86" i="6"/>
  <c r="V33" i="6"/>
  <c r="V11" i="6"/>
  <c r="V12" i="6" s="1"/>
  <c r="V93" i="6"/>
  <c r="V126" i="6"/>
  <c r="V100" i="6"/>
  <c r="V106" i="6"/>
  <c r="V60" i="6"/>
  <c r="V73" i="6"/>
  <c r="V53" i="6"/>
  <c r="W28" i="6"/>
  <c r="V66" i="6"/>
  <c r="V46" i="6"/>
  <c r="V40" i="6"/>
  <c r="V23" i="6"/>
  <c r="V24" i="6" s="1"/>
  <c r="V4" i="6"/>
  <c r="V35" i="10"/>
  <c r="E31" i="51" l="1"/>
  <c r="F9" i="49"/>
  <c r="F9" i="51"/>
  <c r="G20" i="49"/>
  <c r="J5" i="51"/>
  <c r="K18" i="49"/>
  <c r="E33" i="51"/>
  <c r="F10" i="49"/>
  <c r="S21" i="34"/>
  <c r="M60" i="51" s="1"/>
  <c r="S12" i="18"/>
  <c r="S17" i="34"/>
  <c r="M56" i="51" s="1"/>
  <c r="S12" i="17"/>
  <c r="S27" i="17"/>
  <c r="W4" i="40"/>
  <c r="W4" i="4"/>
  <c r="W4" i="37"/>
  <c r="W4" i="34"/>
  <c r="W4" i="31"/>
  <c r="W74" i="20"/>
  <c r="W4" i="22"/>
  <c r="W4" i="28"/>
  <c r="W10" i="21"/>
  <c r="W4" i="21"/>
  <c r="W32" i="20"/>
  <c r="W4" i="20"/>
  <c r="W28" i="19"/>
  <c r="W4" i="19"/>
  <c r="W10" i="18"/>
  <c r="W4" i="18"/>
  <c r="W28" i="17"/>
  <c r="W4" i="17"/>
  <c r="W10" i="17"/>
  <c r="W4" i="15"/>
  <c r="W4" i="14"/>
  <c r="W4" i="16"/>
  <c r="W27" i="15"/>
  <c r="W28" i="13"/>
  <c r="W10" i="16"/>
  <c r="W40" i="15"/>
  <c r="W82" i="12"/>
  <c r="W4" i="13"/>
  <c r="W46" i="12"/>
  <c r="W69" i="12"/>
  <c r="W19" i="13"/>
  <c r="W59" i="12"/>
  <c r="W18" i="12"/>
  <c r="W4" i="12"/>
  <c r="W4" i="11"/>
  <c r="W12" i="10"/>
  <c r="W4" i="10"/>
  <c r="W35" i="9"/>
  <c r="W4" i="8"/>
  <c r="W23" i="11"/>
  <c r="W19" i="10"/>
  <c r="W10" i="9"/>
  <c r="W331" i="6"/>
  <c r="W332" i="6" s="1"/>
  <c r="W4" i="9"/>
  <c r="W4" i="7"/>
  <c r="W346" i="6"/>
  <c r="W347" i="6" s="1"/>
  <c r="W312" i="6"/>
  <c r="W351" i="6"/>
  <c r="W352" i="6" s="1"/>
  <c r="W296" i="6"/>
  <c r="W297" i="6" s="1"/>
  <c r="W259" i="6"/>
  <c r="W336" i="6"/>
  <c r="W337" i="6" s="1"/>
  <c r="W320" i="6"/>
  <c r="W275" i="6"/>
  <c r="W301" i="6"/>
  <c r="W302" i="6" s="1"/>
  <c r="W80" i="6"/>
  <c r="W140" i="6"/>
  <c r="W86" i="6"/>
  <c r="W93" i="6"/>
  <c r="W40" i="6"/>
  <c r="X28" i="6"/>
  <c r="W126" i="6"/>
  <c r="W100" i="6"/>
  <c r="W188" i="6"/>
  <c r="W106" i="6"/>
  <c r="W202" i="6"/>
  <c r="W66" i="6"/>
  <c r="W46" i="6"/>
  <c r="W23" i="6"/>
  <c r="W24" i="6" s="1"/>
  <c r="W60" i="6"/>
  <c r="W4" i="6"/>
  <c r="W33" i="6"/>
  <c r="W11" i="6"/>
  <c r="W12" i="6" s="1"/>
  <c r="W73" i="6"/>
  <c r="W53" i="6"/>
  <c r="W35" i="10"/>
  <c r="V59" i="20"/>
  <c r="V53" i="20"/>
  <c r="V54" i="20" s="1"/>
  <c r="V58" i="20" s="1"/>
  <c r="V242" i="6"/>
  <c r="V290" i="6"/>
  <c r="V291" i="6" s="1"/>
  <c r="V283" i="6"/>
  <c r="V250" i="6"/>
  <c r="V234" i="6"/>
  <c r="V121" i="6"/>
  <c r="V18" i="6"/>
  <c r="V19" i="6" s="1"/>
  <c r="V183" i="6"/>
  <c r="T11" i="37"/>
  <c r="T20" i="17"/>
  <c r="T21" i="13"/>
  <c r="T13" i="15"/>
  <c r="T14" i="15" s="1"/>
  <c r="T39" i="12"/>
  <c r="T48" i="12"/>
  <c r="T17" i="9"/>
  <c r="T18" i="9" s="1"/>
  <c r="T141" i="6"/>
  <c r="T162" i="6"/>
  <c r="U2" i="4"/>
  <c r="U2" i="40"/>
  <c r="U2" i="37"/>
  <c r="U2" i="34"/>
  <c r="U2" i="31"/>
  <c r="U2" i="28"/>
  <c r="U2" i="22"/>
  <c r="U2" i="21"/>
  <c r="U2" i="20"/>
  <c r="U60" i="20"/>
  <c r="U2" i="19"/>
  <c r="U2" i="18"/>
  <c r="U2" i="17"/>
  <c r="U2" i="14"/>
  <c r="U2" i="16"/>
  <c r="U2" i="15"/>
  <c r="U2" i="13"/>
  <c r="U2" i="11"/>
  <c r="U2" i="12"/>
  <c r="U2" i="10"/>
  <c r="U2" i="9"/>
  <c r="U319" i="6"/>
  <c r="U321" i="6" s="1"/>
  <c r="U313" i="6"/>
  <c r="U2" i="7"/>
  <c r="U241" i="6"/>
  <c r="U243" i="6" s="1"/>
  <c r="U20" i="16" s="1"/>
  <c r="U182" i="6"/>
  <c r="U184" i="6" s="1"/>
  <c r="U189" i="6" s="1"/>
  <c r="U190" i="6" s="1"/>
  <c r="U194" i="6" s="1"/>
  <c r="U2" i="8"/>
  <c r="U282" i="6"/>
  <c r="U284" i="6" s="1"/>
  <c r="U276" i="6" s="1"/>
  <c r="U277" i="6" s="1"/>
  <c r="U270" i="6" s="1"/>
  <c r="U249" i="6"/>
  <c r="U251" i="6" s="1"/>
  <c r="U21" i="18" s="1"/>
  <c r="U176" i="6"/>
  <c r="U177" i="6" s="1"/>
  <c r="U147" i="6"/>
  <c r="U72" i="6"/>
  <c r="U233" i="6"/>
  <c r="U235" i="6" s="1"/>
  <c r="U21" i="17" s="1"/>
  <c r="U209" i="6"/>
  <c r="U120" i="6"/>
  <c r="U122" i="6" s="1"/>
  <c r="U127" i="6" s="1"/>
  <c r="U128" i="6" s="1"/>
  <c r="U132" i="6" s="1"/>
  <c r="U114" i="6"/>
  <c r="U115" i="6" s="1"/>
  <c r="U92" i="6"/>
  <c r="U2" i="6"/>
  <c r="U32" i="6"/>
  <c r="U52" i="6"/>
  <c r="T13" i="37"/>
  <c r="T20" i="18"/>
  <c r="T22" i="18" s="1"/>
  <c r="T61" i="12"/>
  <c r="T49" i="12"/>
  <c r="V74" i="6"/>
  <c r="V81" i="6"/>
  <c r="V87" i="6"/>
  <c r="N8" i="31"/>
  <c r="H23" i="51" s="1"/>
  <c r="O20" i="13"/>
  <c r="L16" i="37"/>
  <c r="L63" i="12"/>
  <c r="L65" i="12" s="1"/>
  <c r="L71" i="12"/>
  <c r="L73" i="12" s="1"/>
  <c r="V9" i="37"/>
  <c r="V17" i="12"/>
  <c r="V42" i="10"/>
  <c r="V22" i="10"/>
  <c r="S29" i="15"/>
  <c r="S10" i="12"/>
  <c r="S11" i="12" s="1"/>
  <c r="K17" i="31"/>
  <c r="L11" i="16"/>
  <c r="U61" i="20"/>
  <c r="U67" i="20" s="1"/>
  <c r="L9" i="31"/>
  <c r="F24" i="51" s="1"/>
  <c r="N25" i="12"/>
  <c r="N50" i="12"/>
  <c r="V94" i="6"/>
  <c r="V101" i="6"/>
  <c r="V107" i="6"/>
  <c r="R49" i="15"/>
  <c r="R34" i="15"/>
  <c r="R27" i="14"/>
  <c r="R12" i="14"/>
  <c r="M28" i="16"/>
  <c r="M14" i="16"/>
  <c r="M14" i="13"/>
  <c r="M30" i="13"/>
  <c r="M33" i="13" s="1"/>
  <c r="S19" i="37"/>
  <c r="T83" i="12"/>
  <c r="T85" i="12" s="1"/>
  <c r="T22" i="17"/>
  <c r="L40" i="17"/>
  <c r="L41" i="17" s="1"/>
  <c r="V3" i="4"/>
  <c r="V3" i="40"/>
  <c r="V3" i="37"/>
  <c r="V3" i="34"/>
  <c r="V3" i="31"/>
  <c r="V3" i="21"/>
  <c r="V3" i="28"/>
  <c r="V3" i="22"/>
  <c r="V3" i="20"/>
  <c r="V3" i="19"/>
  <c r="V3" i="17"/>
  <c r="V3" i="18"/>
  <c r="V3" i="16"/>
  <c r="V3" i="15"/>
  <c r="V3" i="13"/>
  <c r="V3" i="14"/>
  <c r="V3" i="12"/>
  <c r="V3" i="10"/>
  <c r="V3" i="9"/>
  <c r="V3" i="11"/>
  <c r="V3" i="8"/>
  <c r="V3" i="7"/>
  <c r="V79" i="6"/>
  <c r="V99" i="6"/>
  <c r="V3" i="6"/>
  <c r="V39" i="6"/>
  <c r="V59" i="6"/>
  <c r="R9" i="19"/>
  <c r="R30" i="15"/>
  <c r="T54" i="6"/>
  <c r="T67" i="6"/>
  <c r="T61" i="6"/>
  <c r="L40" i="18"/>
  <c r="L41" i="18" s="1"/>
  <c r="L27" i="18"/>
  <c r="L28" i="18" s="1"/>
  <c r="V14" i="17"/>
  <c r="V29" i="17"/>
  <c r="V18" i="34" s="1"/>
  <c r="P57" i="51" s="1"/>
  <c r="V314" i="6"/>
  <c r="V14" i="37"/>
  <c r="V76" i="12"/>
  <c r="V77" i="12" s="1"/>
  <c r="V72" i="12"/>
  <c r="V64" i="12"/>
  <c r="S15" i="15"/>
  <c r="S32" i="15"/>
  <c r="T224" i="6"/>
  <c r="T203" i="6"/>
  <c r="U40" i="12"/>
  <c r="U41" i="12" s="1"/>
  <c r="U32" i="12"/>
  <c r="U33" i="12" s="1"/>
  <c r="U13" i="10"/>
  <c r="U14" i="10" s="1"/>
  <c r="L16" i="19"/>
  <c r="L17" i="19" s="1"/>
  <c r="L42" i="15"/>
  <c r="L20" i="15"/>
  <c r="L25" i="11"/>
  <c r="T8" i="37"/>
  <c r="T16" i="12"/>
  <c r="T41" i="10"/>
  <c r="T43" i="10" s="1"/>
  <c r="T25" i="14" s="1"/>
  <c r="T26" i="14" s="1"/>
  <c r="T21" i="10"/>
  <c r="T34" i="10"/>
  <c r="T26" i="31"/>
  <c r="N41" i="51" s="1"/>
  <c r="U11" i="21"/>
  <c r="U13" i="21" s="1"/>
  <c r="T29" i="9"/>
  <c r="V41" i="6"/>
  <c r="V47" i="6"/>
  <c r="V34" i="6"/>
  <c r="L10" i="37"/>
  <c r="G26" i="49" s="1"/>
  <c r="L24" i="12"/>
  <c r="L26" i="12" s="1"/>
  <c r="M20" i="10"/>
  <c r="S12" i="14"/>
  <c r="S49" i="15"/>
  <c r="S34" i="15"/>
  <c r="S27" i="14"/>
  <c r="S9" i="28" s="1"/>
  <c r="U18" i="37"/>
  <c r="P30" i="49" s="1"/>
  <c r="U84" i="12"/>
  <c r="U31" i="13"/>
  <c r="U62" i="12"/>
  <c r="U23" i="13"/>
  <c r="T270" i="6"/>
  <c r="E32" i="51" l="1"/>
  <c r="F8" i="49"/>
  <c r="M5" i="51"/>
  <c r="N18" i="49"/>
  <c r="N29" i="13"/>
  <c r="M34" i="13"/>
  <c r="M9" i="31" s="1"/>
  <c r="G24" i="51" s="1"/>
  <c r="T12" i="14"/>
  <c r="T49" i="15"/>
  <c r="T34" i="15"/>
  <c r="T27" i="14"/>
  <c r="T9" i="28" s="1"/>
  <c r="U8" i="37"/>
  <c r="U16" i="12"/>
  <c r="U41" i="10"/>
  <c r="U43" i="10" s="1"/>
  <c r="U25" i="14" s="1"/>
  <c r="U26" i="14" s="1"/>
  <c r="U21" i="10"/>
  <c r="U34" i="10"/>
  <c r="L46" i="18"/>
  <c r="L47" i="18" s="1"/>
  <c r="L42" i="18"/>
  <c r="L33" i="18"/>
  <c r="U22" i="17"/>
  <c r="W314" i="6"/>
  <c r="W14" i="17"/>
  <c r="W29" i="17"/>
  <c r="W18" i="34" s="1"/>
  <c r="Q57" i="51" s="1"/>
  <c r="U11" i="37"/>
  <c r="U20" i="17"/>
  <c r="U13" i="15"/>
  <c r="U14" i="15" s="1"/>
  <c r="U21" i="13"/>
  <c r="U39" i="12"/>
  <c r="U48" i="12"/>
  <c r="U17" i="9"/>
  <c r="U18" i="9" s="1"/>
  <c r="L39" i="16"/>
  <c r="L40" i="16" s="1"/>
  <c r="W47" i="6"/>
  <c r="W41" i="6"/>
  <c r="W34" i="6"/>
  <c r="S9" i="19"/>
  <c r="S30" i="15"/>
  <c r="T29" i="15"/>
  <c r="T10" i="12"/>
  <c r="T11" i="12" s="1"/>
  <c r="V2" i="4"/>
  <c r="V2" i="40"/>
  <c r="V2" i="37"/>
  <c r="V2" i="34"/>
  <c r="V2" i="31"/>
  <c r="V2" i="28"/>
  <c r="V60" i="20"/>
  <c r="V61" i="20" s="1"/>
  <c r="V67" i="20" s="1"/>
  <c r="V2" i="21"/>
  <c r="V2" i="22"/>
  <c r="V2" i="20"/>
  <c r="V2" i="19"/>
  <c r="V2" i="16"/>
  <c r="V2" i="18"/>
  <c r="V2" i="17"/>
  <c r="V2" i="15"/>
  <c r="V2" i="14"/>
  <c r="V2" i="13"/>
  <c r="V2" i="12"/>
  <c r="V2" i="11"/>
  <c r="V2" i="10"/>
  <c r="V2" i="9"/>
  <c r="V2" i="7"/>
  <c r="V2" i="8"/>
  <c r="V319" i="6"/>
  <c r="V321" i="6" s="1"/>
  <c r="V233" i="6"/>
  <c r="V235" i="6" s="1"/>
  <c r="V21" i="17" s="1"/>
  <c r="V313" i="6"/>
  <c r="V241" i="6"/>
  <c r="V243" i="6" s="1"/>
  <c r="V20" i="16" s="1"/>
  <c r="V176" i="6"/>
  <c r="V177" i="6" s="1"/>
  <c r="V282" i="6"/>
  <c r="V284" i="6" s="1"/>
  <c r="V276" i="6" s="1"/>
  <c r="V277" i="6" s="1"/>
  <c r="V270" i="6" s="1"/>
  <c r="V249" i="6"/>
  <c r="V251" i="6" s="1"/>
  <c r="V21" i="18" s="1"/>
  <c r="V147" i="6"/>
  <c r="V209" i="6"/>
  <c r="V120" i="6"/>
  <c r="V122" i="6" s="1"/>
  <c r="V127" i="6" s="1"/>
  <c r="V128" i="6" s="1"/>
  <c r="V132" i="6" s="1"/>
  <c r="V114" i="6"/>
  <c r="V115" i="6" s="1"/>
  <c r="V92" i="6"/>
  <c r="V182" i="6"/>
  <c r="V184" i="6" s="1"/>
  <c r="V189" i="6" s="1"/>
  <c r="V190" i="6" s="1"/>
  <c r="V194" i="6" s="1"/>
  <c r="V52" i="6"/>
  <c r="V32" i="6"/>
  <c r="V72" i="6"/>
  <c r="V2" i="6"/>
  <c r="T19" i="37"/>
  <c r="U83" i="12"/>
  <c r="U85" i="12" s="1"/>
  <c r="L21" i="19"/>
  <c r="L43" i="15"/>
  <c r="L45" i="15" s="1"/>
  <c r="L21" i="15"/>
  <c r="S14" i="34"/>
  <c r="M53" i="51" s="1"/>
  <c r="M13" i="28"/>
  <c r="R9" i="28"/>
  <c r="L17" i="37"/>
  <c r="G29" i="49" s="1"/>
  <c r="M70" i="12"/>
  <c r="L17" i="11"/>
  <c r="L18" i="11" s="1"/>
  <c r="U224" i="6"/>
  <c r="U203" i="6"/>
  <c r="U61" i="6"/>
  <c r="U67" i="6"/>
  <c r="U54" i="6"/>
  <c r="W3" i="4"/>
  <c r="W3" i="40"/>
  <c r="W3" i="37"/>
  <c r="W3" i="34"/>
  <c r="W3" i="28"/>
  <c r="W3" i="31"/>
  <c r="W3" i="22"/>
  <c r="W3" i="21"/>
  <c r="W3" i="20"/>
  <c r="W3" i="18"/>
  <c r="W3" i="19"/>
  <c r="W3" i="17"/>
  <c r="W3" i="15"/>
  <c r="W3" i="16"/>
  <c r="W3" i="14"/>
  <c r="W3" i="13"/>
  <c r="W3" i="12"/>
  <c r="W3" i="8"/>
  <c r="W3" i="11"/>
  <c r="W3" i="10"/>
  <c r="W3" i="9"/>
  <c r="W3" i="7"/>
  <c r="W79" i="6"/>
  <c r="W99" i="6"/>
  <c r="W59" i="6"/>
  <c r="W3" i="6"/>
  <c r="W39" i="6"/>
  <c r="X4" i="40"/>
  <c r="X4" i="4"/>
  <c r="X4" i="37"/>
  <c r="X4" i="34"/>
  <c r="X4" i="31"/>
  <c r="X4" i="28"/>
  <c r="X4" i="22"/>
  <c r="X10" i="21"/>
  <c r="X74" i="20"/>
  <c r="X32" i="20"/>
  <c r="X4" i="21"/>
  <c r="X10" i="18"/>
  <c r="X28" i="17"/>
  <c r="X4" i="20"/>
  <c r="X28" i="19"/>
  <c r="X4" i="19"/>
  <c r="X4" i="18"/>
  <c r="X4" i="17"/>
  <c r="X40" i="15"/>
  <c r="X10" i="17"/>
  <c r="X27" i="15"/>
  <c r="X4" i="16"/>
  <c r="X10" i="16"/>
  <c r="X4" i="15"/>
  <c r="X4" i="14"/>
  <c r="X82" i="12"/>
  <c r="X4" i="13"/>
  <c r="X28" i="13"/>
  <c r="X46" i="12"/>
  <c r="X69" i="12"/>
  <c r="X19" i="13"/>
  <c r="X59" i="12"/>
  <c r="X23" i="11"/>
  <c r="X18" i="12"/>
  <c r="X12" i="10"/>
  <c r="X4" i="10"/>
  <c r="X4" i="12"/>
  <c r="X4" i="11"/>
  <c r="X19" i="10"/>
  <c r="X346" i="6"/>
  <c r="X347" i="6" s="1"/>
  <c r="X35" i="9"/>
  <c r="X4" i="7"/>
  <c r="X10" i="9"/>
  <c r="X312" i="6"/>
  <c r="X351" i="6"/>
  <c r="X352" i="6" s="1"/>
  <c r="X296" i="6"/>
  <c r="X297" i="6" s="1"/>
  <c r="X331" i="6"/>
  <c r="X332" i="6" s="1"/>
  <c r="X259" i="6"/>
  <c r="X336" i="6"/>
  <c r="X337" i="6" s="1"/>
  <c r="X320" i="6"/>
  <c r="X275" i="6"/>
  <c r="X4" i="8"/>
  <c r="X301" i="6"/>
  <c r="X302" i="6" s="1"/>
  <c r="X4" i="9"/>
  <c r="X80" i="6"/>
  <c r="X140" i="6"/>
  <c r="X86" i="6"/>
  <c r="X93" i="6"/>
  <c r="X126" i="6"/>
  <c r="X100" i="6"/>
  <c r="X46" i="6"/>
  <c r="X188" i="6"/>
  <c r="X106" i="6"/>
  <c r="X202" i="6"/>
  <c r="X73" i="6"/>
  <c r="Y28" i="6"/>
  <c r="X66" i="6"/>
  <c r="X40" i="6"/>
  <c r="X23" i="6"/>
  <c r="X24" i="6" s="1"/>
  <c r="X4" i="6"/>
  <c r="X60" i="6"/>
  <c r="X33" i="6"/>
  <c r="X11" i="6"/>
  <c r="X12" i="6" s="1"/>
  <c r="X53" i="6"/>
  <c r="X35" i="10"/>
  <c r="U26" i="31"/>
  <c r="O41" i="51" s="1"/>
  <c r="V11" i="21"/>
  <c r="V13" i="21" s="1"/>
  <c r="U29" i="9"/>
  <c r="L33" i="17"/>
  <c r="L42" i="17"/>
  <c r="L46" i="17"/>
  <c r="L47" i="17" s="1"/>
  <c r="L15" i="37"/>
  <c r="G28" i="49" s="1"/>
  <c r="M60" i="12"/>
  <c r="W9" i="37"/>
  <c r="W17" i="12"/>
  <c r="W22" i="10"/>
  <c r="W42" i="10"/>
  <c r="W81" i="6"/>
  <c r="W87" i="6"/>
  <c r="W74" i="6"/>
  <c r="U13" i="37"/>
  <c r="U20" i="18"/>
  <c r="U22" i="18" s="1"/>
  <c r="U61" i="12"/>
  <c r="U49" i="12"/>
  <c r="T21" i="34"/>
  <c r="N60" i="51" s="1"/>
  <c r="T12" i="18"/>
  <c r="N22" i="15"/>
  <c r="U141" i="6"/>
  <c r="U162" i="6"/>
  <c r="T32" i="15"/>
  <c r="T15" i="15"/>
  <c r="T14" i="34" s="1"/>
  <c r="N53" i="51" s="1"/>
  <c r="M20" i="34"/>
  <c r="G59" i="51" s="1"/>
  <c r="N12" i="37"/>
  <c r="I27" i="49" s="1"/>
  <c r="N12" i="13"/>
  <c r="N13" i="13" s="1"/>
  <c r="O47" i="12"/>
  <c r="O11" i="13"/>
  <c r="O24" i="13"/>
  <c r="W14" i="37"/>
  <c r="W72" i="12"/>
  <c r="W76" i="12"/>
  <c r="W77" i="12" s="1"/>
  <c r="W64" i="12"/>
  <c r="M28" i="10"/>
  <c r="V18" i="37"/>
  <c r="Q30" i="49" s="1"/>
  <c r="V31" i="13"/>
  <c r="V84" i="12"/>
  <c r="V23" i="13"/>
  <c r="V62" i="12"/>
  <c r="L31" i="12"/>
  <c r="L14" i="18"/>
  <c r="L29" i="18"/>
  <c r="T17" i="34"/>
  <c r="N56" i="51" s="1"/>
  <c r="T12" i="17"/>
  <c r="T27" i="17"/>
  <c r="V40" i="12"/>
  <c r="V41" i="12" s="1"/>
  <c r="V32" i="12"/>
  <c r="V13" i="10"/>
  <c r="V14" i="10" s="1"/>
  <c r="W59" i="20"/>
  <c r="W53" i="20"/>
  <c r="W54" i="20" s="1"/>
  <c r="W58" i="20" s="1"/>
  <c r="W242" i="6"/>
  <c r="W290" i="6"/>
  <c r="W291" i="6" s="1"/>
  <c r="W283" i="6"/>
  <c r="W250" i="6"/>
  <c r="W234" i="6"/>
  <c r="W121" i="6"/>
  <c r="W183" i="6"/>
  <c r="W18" i="6"/>
  <c r="W19" i="6" s="1"/>
  <c r="W94" i="6"/>
  <c r="W101" i="6"/>
  <c r="W107" i="6"/>
  <c r="L5" i="51" l="1"/>
  <c r="M18" i="49"/>
  <c r="G9" i="51"/>
  <c r="H20" i="49"/>
  <c r="N5" i="51"/>
  <c r="O18" i="49"/>
  <c r="L10" i="31"/>
  <c r="F25" i="51" s="1"/>
  <c r="M41" i="15"/>
  <c r="X9" i="37"/>
  <c r="X17" i="12"/>
  <c r="X22" i="10"/>
  <c r="X42" i="10"/>
  <c r="O25" i="12"/>
  <c r="O50" i="12"/>
  <c r="U19" i="37"/>
  <c r="V83" i="12"/>
  <c r="V85" i="12" s="1"/>
  <c r="T9" i="19"/>
  <c r="T30" i="15"/>
  <c r="U29" i="15"/>
  <c r="U10" i="12"/>
  <c r="U11" i="12" s="1"/>
  <c r="L18" i="28"/>
  <c r="V13" i="37"/>
  <c r="V20" i="18"/>
  <c r="V22" i="18" s="1"/>
  <c r="V61" i="12"/>
  <c r="V49" i="12"/>
  <c r="L22" i="34"/>
  <c r="F61" i="51" s="1"/>
  <c r="N30" i="13"/>
  <c r="N33" i="13" s="1"/>
  <c r="N14" i="13"/>
  <c r="L48" i="18"/>
  <c r="L34" i="18"/>
  <c r="L35" i="18" s="1"/>
  <c r="Y4" i="4"/>
  <c r="Y4" i="40"/>
  <c r="Y4" i="37"/>
  <c r="Y4" i="34"/>
  <c r="Y4" i="31"/>
  <c r="Y4" i="22"/>
  <c r="Y4" i="28"/>
  <c r="Y74" i="20"/>
  <c r="Y4" i="21"/>
  <c r="Y10" i="21"/>
  <c r="Y4" i="20"/>
  <c r="Y32" i="20"/>
  <c r="Y4" i="19"/>
  <c r="Y28" i="19"/>
  <c r="Y4" i="17"/>
  <c r="Y28" i="17"/>
  <c r="Y10" i="17"/>
  <c r="Y10" i="18"/>
  <c r="Y4" i="18"/>
  <c r="Y10" i="16"/>
  <c r="Y27" i="15"/>
  <c r="Y19" i="13"/>
  <c r="Y4" i="13"/>
  <c r="Y40" i="15"/>
  <c r="Y4" i="15"/>
  <c r="Y4" i="14"/>
  <c r="Y4" i="16"/>
  <c r="Y28" i="13"/>
  <c r="Y69" i="12"/>
  <c r="Y59" i="12"/>
  <c r="Y82" i="12"/>
  <c r="Y4" i="12"/>
  <c r="Y4" i="11"/>
  <c r="Y46" i="12"/>
  <c r="Y18" i="12"/>
  <c r="Y12" i="10"/>
  <c r="Y4" i="10"/>
  <c r="Y35" i="9"/>
  <c r="Y23" i="11"/>
  <c r="Y19" i="10"/>
  <c r="Y10" i="9"/>
  <c r="Y312" i="6"/>
  <c r="Y346" i="6"/>
  <c r="Y347" i="6" s="1"/>
  <c r="Y351" i="6"/>
  <c r="Y352" i="6" s="1"/>
  <c r="Y296" i="6"/>
  <c r="Y297" i="6" s="1"/>
  <c r="Y331" i="6"/>
  <c r="Y332" i="6" s="1"/>
  <c r="Y259" i="6"/>
  <c r="Y336" i="6"/>
  <c r="Y337" i="6" s="1"/>
  <c r="Y320" i="6"/>
  <c r="Y275" i="6"/>
  <c r="Y4" i="8"/>
  <c r="Y301" i="6"/>
  <c r="Y302" i="6" s="1"/>
  <c r="Y4" i="9"/>
  <c r="Y4" i="7"/>
  <c r="Y202" i="6"/>
  <c r="Y140" i="6"/>
  <c r="Y86" i="6"/>
  <c r="Y93" i="6"/>
  <c r="Y126" i="6"/>
  <c r="Y100" i="6"/>
  <c r="Y188" i="6"/>
  <c r="Y106" i="6"/>
  <c r="Y53" i="6"/>
  <c r="Y23" i="6"/>
  <c r="Y24" i="6" s="1"/>
  <c r="Y80" i="6"/>
  <c r="Y4" i="6"/>
  <c r="Y66" i="6"/>
  <c r="Y46" i="6"/>
  <c r="Y40" i="6"/>
  <c r="Y60" i="6"/>
  <c r="Y11" i="6"/>
  <c r="Y12" i="6" s="1"/>
  <c r="Y33" i="6"/>
  <c r="Y73" i="6"/>
  <c r="Z28" i="6"/>
  <c r="Y35" i="10"/>
  <c r="U17" i="34"/>
  <c r="O56" i="51" s="1"/>
  <c r="U27" i="17"/>
  <c r="U12" i="17"/>
  <c r="L48" i="17"/>
  <c r="L34" i="17"/>
  <c r="L35" i="17" s="1"/>
  <c r="X14" i="37"/>
  <c r="X64" i="12"/>
  <c r="X72" i="12"/>
  <c r="X76" i="12"/>
  <c r="X77" i="12" s="1"/>
  <c r="X14" i="17"/>
  <c r="X29" i="17"/>
  <c r="X18" i="34" s="1"/>
  <c r="R57" i="51" s="1"/>
  <c r="W40" i="12"/>
  <c r="W41" i="12" s="1"/>
  <c r="W32" i="12"/>
  <c r="W13" i="10"/>
  <c r="W14" i="10" s="1"/>
  <c r="U21" i="34"/>
  <c r="O60" i="51" s="1"/>
  <c r="U12" i="18"/>
  <c r="L16" i="28"/>
  <c r="X59" i="20"/>
  <c r="X53" i="20"/>
  <c r="X54" i="20" s="1"/>
  <c r="X58" i="20" s="1"/>
  <c r="X242" i="6"/>
  <c r="X290" i="6"/>
  <c r="X291" i="6" s="1"/>
  <c r="X283" i="6"/>
  <c r="X250" i="6"/>
  <c r="X234" i="6"/>
  <c r="X121" i="6"/>
  <c r="X183" i="6"/>
  <c r="X18" i="6"/>
  <c r="X19" i="6" s="1"/>
  <c r="X87" i="6"/>
  <c r="X74" i="6"/>
  <c r="X81" i="6"/>
  <c r="V224" i="6"/>
  <c r="V203" i="6"/>
  <c r="U32" i="15"/>
  <c r="U15" i="15"/>
  <c r="U14" i="34" s="1"/>
  <c r="O53" i="51" s="1"/>
  <c r="N8" i="34"/>
  <c r="H47" i="51" s="1"/>
  <c r="N44" i="15"/>
  <c r="L8" i="28"/>
  <c r="L19" i="16"/>
  <c r="L21" i="16" s="1"/>
  <c r="L26" i="11"/>
  <c r="L27" i="11" s="1"/>
  <c r="L32" i="16"/>
  <c r="L45" i="16"/>
  <c r="L46" i="16" s="1"/>
  <c r="L41" i="16"/>
  <c r="W2" i="40"/>
  <c r="W2" i="4"/>
  <c r="W2" i="37"/>
  <c r="W2" i="34"/>
  <c r="W2" i="28"/>
  <c r="W2" i="31"/>
  <c r="W2" i="21"/>
  <c r="W2" i="22"/>
  <c r="W60" i="20"/>
  <c r="W2" i="20"/>
  <c r="W2" i="19"/>
  <c r="W2" i="18"/>
  <c r="W2" i="17"/>
  <c r="W2" i="14"/>
  <c r="W2" i="16"/>
  <c r="W2" i="15"/>
  <c r="W2" i="13"/>
  <c r="W2" i="12"/>
  <c r="W2" i="11"/>
  <c r="W2" i="10"/>
  <c r="W2" i="8"/>
  <c r="W313" i="6"/>
  <c r="X314" i="6" s="1"/>
  <c r="W241" i="6"/>
  <c r="W243" i="6" s="1"/>
  <c r="W20" i="16" s="1"/>
  <c r="W2" i="7"/>
  <c r="W2" i="9"/>
  <c r="W282" i="6"/>
  <c r="W284" i="6" s="1"/>
  <c r="W276" i="6" s="1"/>
  <c r="W277" i="6" s="1"/>
  <c r="W270" i="6" s="1"/>
  <c r="W249" i="6"/>
  <c r="W251" i="6" s="1"/>
  <c r="W21" i="18" s="1"/>
  <c r="W319" i="6"/>
  <c r="W321" i="6" s="1"/>
  <c r="W233" i="6"/>
  <c r="W235" i="6" s="1"/>
  <c r="W21" i="17" s="1"/>
  <c r="W209" i="6"/>
  <c r="W147" i="6"/>
  <c r="W176" i="6"/>
  <c r="W177" i="6" s="1"/>
  <c r="W120" i="6"/>
  <c r="W122" i="6" s="1"/>
  <c r="W127" i="6" s="1"/>
  <c r="W128" i="6" s="1"/>
  <c r="W132" i="6" s="1"/>
  <c r="W32" i="6"/>
  <c r="W114" i="6"/>
  <c r="W115" i="6" s="1"/>
  <c r="W92" i="6"/>
  <c r="W182" i="6"/>
  <c r="W184" i="6" s="1"/>
  <c r="W189" i="6" s="1"/>
  <c r="W190" i="6" s="1"/>
  <c r="W194" i="6" s="1"/>
  <c r="W72" i="6"/>
  <c r="W52" i="6"/>
  <c r="W2" i="6"/>
  <c r="W61" i="20"/>
  <c r="W67" i="20" s="1"/>
  <c r="V141" i="6"/>
  <c r="V162" i="6"/>
  <c r="U12" i="14"/>
  <c r="U49" i="15"/>
  <c r="U34" i="15"/>
  <c r="U27" i="14"/>
  <c r="O8" i="31"/>
  <c r="I23" i="51" s="1"/>
  <c r="P20" i="13"/>
  <c r="M27" i="10"/>
  <c r="M29" i="10" s="1"/>
  <c r="V26" i="31"/>
  <c r="P41" i="51" s="1"/>
  <c r="W11" i="21"/>
  <c r="W13" i="21" s="1"/>
  <c r="V29" i="9"/>
  <c r="V8" i="37"/>
  <c r="V16" i="12"/>
  <c r="V41" i="10"/>
  <c r="V43" i="10" s="1"/>
  <c r="V25" i="14" s="1"/>
  <c r="V26" i="14" s="1"/>
  <c r="V21" i="10"/>
  <c r="V34" i="10"/>
  <c r="W18" i="37"/>
  <c r="R30" i="49" s="1"/>
  <c r="W31" i="13"/>
  <c r="W84" i="12"/>
  <c r="W23" i="13"/>
  <c r="W62" i="12"/>
  <c r="X3" i="40"/>
  <c r="X3" i="4"/>
  <c r="X3" i="37"/>
  <c r="X3" i="34"/>
  <c r="X3" i="31"/>
  <c r="X3" i="28"/>
  <c r="X3" i="22"/>
  <c r="X3" i="21"/>
  <c r="X3" i="20"/>
  <c r="X3" i="18"/>
  <c r="X3" i="19"/>
  <c r="X3" i="17"/>
  <c r="X3" i="14"/>
  <c r="X3" i="16"/>
  <c r="X3" i="15"/>
  <c r="X3" i="13"/>
  <c r="X3" i="12"/>
  <c r="X3" i="11"/>
  <c r="X3" i="10"/>
  <c r="X3" i="8"/>
  <c r="X3" i="9"/>
  <c r="X3" i="7"/>
  <c r="X79" i="6"/>
  <c r="X39" i="6"/>
  <c r="X99" i="6"/>
  <c r="X3" i="6"/>
  <c r="X59" i="6"/>
  <c r="X47" i="6"/>
  <c r="X41" i="6"/>
  <c r="X34" i="6"/>
  <c r="X94" i="6"/>
  <c r="X101" i="6"/>
  <c r="X107" i="6"/>
  <c r="V67" i="6"/>
  <c r="V61" i="6"/>
  <c r="V54" i="6"/>
  <c r="F14" i="51" l="1"/>
  <c r="G23" i="49"/>
  <c r="F4" i="51"/>
  <c r="G12" i="49"/>
  <c r="F12" i="51"/>
  <c r="G21" i="49"/>
  <c r="V21" i="34"/>
  <c r="P60" i="51" s="1"/>
  <c r="V12" i="18"/>
  <c r="L33" i="16"/>
  <c r="L47" i="16"/>
  <c r="N34" i="13"/>
  <c r="N9" i="31" s="1"/>
  <c r="H24" i="51" s="1"/>
  <c r="O29" i="13"/>
  <c r="L34" i="16"/>
  <c r="X40" i="12"/>
  <c r="X41" i="12" s="1"/>
  <c r="X32" i="12"/>
  <c r="X13" i="10"/>
  <c r="X14" i="10" s="1"/>
  <c r="Y3" i="4"/>
  <c r="Y3" i="40"/>
  <c r="Y3" i="37"/>
  <c r="Y3" i="34"/>
  <c r="Y3" i="31"/>
  <c r="Y3" i="28"/>
  <c r="Y3" i="22"/>
  <c r="Y3" i="21"/>
  <c r="Y3" i="20"/>
  <c r="Y3" i="19"/>
  <c r="Y3" i="18"/>
  <c r="Y3" i="17"/>
  <c r="Y3" i="14"/>
  <c r="Y3" i="16"/>
  <c r="Y3" i="15"/>
  <c r="Y3" i="13"/>
  <c r="Y3" i="11"/>
  <c r="Y3" i="12"/>
  <c r="Y3" i="10"/>
  <c r="Y3" i="9"/>
  <c r="Y3" i="8"/>
  <c r="Y3" i="7"/>
  <c r="Y79" i="6"/>
  <c r="Y99" i="6"/>
  <c r="Y3" i="6"/>
  <c r="Y39" i="6"/>
  <c r="Y59" i="6"/>
  <c r="Y74" i="6"/>
  <c r="Y81" i="6"/>
  <c r="Y87" i="6"/>
  <c r="L13" i="18"/>
  <c r="L15" i="18" s="1"/>
  <c r="W67" i="6"/>
  <c r="W61" i="6"/>
  <c r="W54" i="6"/>
  <c r="X18" i="37"/>
  <c r="S30" i="49" s="1"/>
  <c r="X23" i="13"/>
  <c r="X84" i="12"/>
  <c r="X31" i="13"/>
  <c r="X62" i="12"/>
  <c r="L23" i="34"/>
  <c r="F62" i="51" s="1"/>
  <c r="Y53" i="20"/>
  <c r="Y54" i="20" s="1"/>
  <c r="Y58" i="20" s="1"/>
  <c r="Y59" i="20"/>
  <c r="Y290" i="6"/>
  <c r="Y291" i="6" s="1"/>
  <c r="Y283" i="6"/>
  <c r="Y250" i="6"/>
  <c r="Y234" i="6"/>
  <c r="Y242" i="6"/>
  <c r="Y183" i="6"/>
  <c r="Y121" i="6"/>
  <c r="Y18" i="6"/>
  <c r="Y19" i="6" s="1"/>
  <c r="U9" i="19"/>
  <c r="U30" i="15"/>
  <c r="V49" i="15"/>
  <c r="V34" i="15"/>
  <c r="V27" i="14"/>
  <c r="V9" i="28" s="1"/>
  <c r="V12" i="14"/>
  <c r="W26" i="31"/>
  <c r="Q41" i="51" s="1"/>
  <c r="X11" i="21"/>
  <c r="X13" i="21" s="1"/>
  <c r="W29" i="9"/>
  <c r="W141" i="6"/>
  <c r="W162" i="6"/>
  <c r="X2" i="40"/>
  <c r="X2" i="37"/>
  <c r="X2" i="4"/>
  <c r="X2" i="34"/>
  <c r="X2" i="31"/>
  <c r="X2" i="28"/>
  <c r="X2" i="22"/>
  <c r="X60" i="20"/>
  <c r="X2" i="21"/>
  <c r="X2" i="20"/>
  <c r="X2" i="19"/>
  <c r="X2" i="18"/>
  <c r="X2" i="17"/>
  <c r="X2" i="16"/>
  <c r="X2" i="15"/>
  <c r="X2" i="14"/>
  <c r="X2" i="13"/>
  <c r="X2" i="11"/>
  <c r="X2" i="12"/>
  <c r="X2" i="10"/>
  <c r="X313" i="6"/>
  <c r="X241" i="6"/>
  <c r="X243" i="6" s="1"/>
  <c r="X20" i="16" s="1"/>
  <c r="X2" i="7"/>
  <c r="X2" i="9"/>
  <c r="X282" i="6"/>
  <c r="X284" i="6" s="1"/>
  <c r="X276" i="6" s="1"/>
  <c r="X277" i="6" s="1"/>
  <c r="X270" i="6" s="1"/>
  <c r="X249" i="6"/>
  <c r="X251" i="6" s="1"/>
  <c r="X21" i="18" s="1"/>
  <c r="X2" i="8"/>
  <c r="X319" i="6"/>
  <c r="X321" i="6" s="1"/>
  <c r="X176" i="6"/>
  <c r="X177" i="6" s="1"/>
  <c r="X120" i="6"/>
  <c r="X122" i="6" s="1"/>
  <c r="X127" i="6" s="1"/>
  <c r="X128" i="6" s="1"/>
  <c r="X132" i="6" s="1"/>
  <c r="X209" i="6"/>
  <c r="X114" i="6"/>
  <c r="X115" i="6" s="1"/>
  <c r="X92" i="6"/>
  <c r="X233" i="6"/>
  <c r="X235" i="6" s="1"/>
  <c r="X21" i="17" s="1"/>
  <c r="X182" i="6"/>
  <c r="X184" i="6" s="1"/>
  <c r="X189" i="6" s="1"/>
  <c r="X190" i="6" s="1"/>
  <c r="X194" i="6" s="1"/>
  <c r="X147" i="6"/>
  <c r="X72" i="6"/>
  <c r="X52" i="6"/>
  <c r="X2" i="6"/>
  <c r="X32" i="6"/>
  <c r="X61" i="20"/>
  <c r="X67" i="20" s="1"/>
  <c r="Y29" i="17"/>
  <c r="Y18" i="34" s="1"/>
  <c r="S57" i="51" s="1"/>
  <c r="Y14" i="17"/>
  <c r="L25" i="34"/>
  <c r="F64" i="51" s="1"/>
  <c r="P11" i="13"/>
  <c r="P24" i="13"/>
  <c r="L13" i="17"/>
  <c r="L15" i="17" s="1"/>
  <c r="W8" i="37"/>
  <c r="W16" i="12"/>
  <c r="W34" i="10"/>
  <c r="W41" i="10"/>
  <c r="W43" i="10" s="1"/>
  <c r="W25" i="14" s="1"/>
  <c r="W26" i="14" s="1"/>
  <c r="W21" i="10"/>
  <c r="U9" i="28"/>
  <c r="Y34" i="6"/>
  <c r="Y41" i="6"/>
  <c r="Y47" i="6"/>
  <c r="Y94" i="6"/>
  <c r="Y101" i="6"/>
  <c r="Y107" i="6"/>
  <c r="W203" i="6"/>
  <c r="W224" i="6"/>
  <c r="L14" i="31"/>
  <c r="F29" i="51" s="1"/>
  <c r="M24" i="11"/>
  <c r="W13" i="37"/>
  <c r="W20" i="18"/>
  <c r="W22" i="18" s="1"/>
  <c r="W49" i="12"/>
  <c r="W61" i="12"/>
  <c r="Y9" i="37"/>
  <c r="Y17" i="12"/>
  <c r="Y22" i="10"/>
  <c r="Y42" i="10"/>
  <c r="Y14" i="37"/>
  <c r="Y76" i="12"/>
  <c r="Y77" i="12" s="1"/>
  <c r="Y64" i="12"/>
  <c r="Y72" i="12"/>
  <c r="O12" i="37"/>
  <c r="J27" i="49" s="1"/>
  <c r="O12" i="13"/>
  <c r="O13" i="13" s="1"/>
  <c r="P47" i="12"/>
  <c r="M53" i="12"/>
  <c r="M54" i="12" s="1"/>
  <c r="M11" i="11"/>
  <c r="M12" i="11" s="1"/>
  <c r="M23" i="10"/>
  <c r="M24" i="10" s="1"/>
  <c r="L17" i="28"/>
  <c r="L19" i="34"/>
  <c r="F58" i="51" s="1"/>
  <c r="L26" i="16"/>
  <c r="N27" i="16" s="1"/>
  <c r="L12" i="16"/>
  <c r="Z4" i="4"/>
  <c r="Z4" i="40"/>
  <c r="Z4" i="37"/>
  <c r="Z4" i="34"/>
  <c r="Z4" i="31"/>
  <c r="Z4" i="22"/>
  <c r="Z4" i="28"/>
  <c r="Z4" i="21"/>
  <c r="Z10" i="21"/>
  <c r="Z74" i="20"/>
  <c r="Z32" i="20"/>
  <c r="Z28" i="19"/>
  <c r="Z4" i="20"/>
  <c r="Z4" i="19"/>
  <c r="Z4" i="17"/>
  <c r="Z28" i="17"/>
  <c r="Z10" i="16"/>
  <c r="Z10" i="17"/>
  <c r="Z10" i="18"/>
  <c r="Z4" i="18"/>
  <c r="Z4" i="16"/>
  <c r="Z27" i="15"/>
  <c r="Z40" i="15"/>
  <c r="Z4" i="15"/>
  <c r="Z4" i="13"/>
  <c r="Z28" i="13"/>
  <c r="Z4" i="14"/>
  <c r="Z69" i="12"/>
  <c r="Z59" i="12"/>
  <c r="Z19" i="13"/>
  <c r="Z82" i="12"/>
  <c r="Z4" i="12"/>
  <c r="Z46" i="12"/>
  <c r="Z18" i="12"/>
  <c r="Z12" i="10"/>
  <c r="Z4" i="9"/>
  <c r="Z4" i="10"/>
  <c r="Z35" i="9"/>
  <c r="Z23" i="11"/>
  <c r="Z4" i="11"/>
  <c r="Z19" i="10"/>
  <c r="Z10" i="9"/>
  <c r="Z331" i="6"/>
  <c r="Z332" i="6" s="1"/>
  <c r="Z336" i="6"/>
  <c r="Z337" i="6" s="1"/>
  <c r="Z346" i="6"/>
  <c r="Z347" i="6" s="1"/>
  <c r="Z351" i="6"/>
  <c r="Z352" i="6" s="1"/>
  <c r="Z296" i="6"/>
  <c r="Z297" i="6" s="1"/>
  <c r="Z259" i="6"/>
  <c r="Z320" i="6"/>
  <c r="Z275" i="6"/>
  <c r="Z4" i="8"/>
  <c r="Z301" i="6"/>
  <c r="Z302" i="6" s="1"/>
  <c r="Z4" i="7"/>
  <c r="Z312" i="6"/>
  <c r="Z93" i="6"/>
  <c r="Z126" i="6"/>
  <c r="Z100" i="6"/>
  <c r="Z188" i="6"/>
  <c r="Z106" i="6"/>
  <c r="Z60" i="6"/>
  <c r="Z202" i="6"/>
  <c r="Z80" i="6"/>
  <c r="Z140" i="6"/>
  <c r="Z86" i="6"/>
  <c r="Z33" i="6"/>
  <c r="Z11" i="6"/>
  <c r="Z12" i="6" s="1"/>
  <c r="Z66" i="6"/>
  <c r="Z46" i="6"/>
  <c r="Z40" i="6"/>
  <c r="Z23" i="6"/>
  <c r="Z24" i="6" s="1"/>
  <c r="Z4" i="6"/>
  <c r="Z73" i="6"/>
  <c r="Z53" i="6"/>
  <c r="AA28" i="6"/>
  <c r="Z35" i="10"/>
  <c r="Y314" i="6"/>
  <c r="N13" i="28"/>
  <c r="V19" i="37"/>
  <c r="W83" i="12"/>
  <c r="W85" i="12" s="1"/>
  <c r="F13" i="51" l="1"/>
  <c r="G22" i="49"/>
  <c r="Q18" i="49"/>
  <c r="P5" i="51"/>
  <c r="H9" i="51"/>
  <c r="I20" i="49"/>
  <c r="O5" i="51"/>
  <c r="P18" i="49"/>
  <c r="W21" i="34"/>
  <c r="Q60" i="51" s="1"/>
  <c r="W12" i="18"/>
  <c r="Z41" i="6"/>
  <c r="Z34" i="6"/>
  <c r="Z47" i="6"/>
  <c r="Z53" i="20"/>
  <c r="Z54" i="20" s="1"/>
  <c r="Z58" i="20" s="1"/>
  <c r="Z59" i="20"/>
  <c r="Z283" i="6"/>
  <c r="Z250" i="6"/>
  <c r="Z242" i="6"/>
  <c r="Z290" i="6"/>
  <c r="Z291" i="6" s="1"/>
  <c r="Z234" i="6"/>
  <c r="Z183" i="6"/>
  <c r="Z121" i="6"/>
  <c r="Z18" i="6"/>
  <c r="Z19" i="6" s="1"/>
  <c r="Z14" i="37"/>
  <c r="Z64" i="12"/>
  <c r="Z72" i="12"/>
  <c r="Z76" i="12"/>
  <c r="Z77" i="12" s="1"/>
  <c r="L16" i="31"/>
  <c r="M11" i="17"/>
  <c r="L18" i="31"/>
  <c r="M11" i="18"/>
  <c r="Z101" i="6"/>
  <c r="Z107" i="6"/>
  <c r="Z94" i="6"/>
  <c r="Z9" i="37"/>
  <c r="Z17" i="12"/>
  <c r="Z42" i="10"/>
  <c r="Z22" i="10"/>
  <c r="AA4" i="4"/>
  <c r="AA4" i="40"/>
  <c r="AA4" i="37"/>
  <c r="AA4" i="34"/>
  <c r="AA4" i="28"/>
  <c r="AA4" i="31"/>
  <c r="AA74" i="20"/>
  <c r="AA4" i="22"/>
  <c r="AA4" i="21"/>
  <c r="AA10" i="21"/>
  <c r="AA4" i="20"/>
  <c r="AA32" i="20"/>
  <c r="AA10" i="18"/>
  <c r="AA4" i="18"/>
  <c r="AA28" i="19"/>
  <c r="AA4" i="19"/>
  <c r="AA28" i="17"/>
  <c r="AA10" i="17"/>
  <c r="AA4" i="15"/>
  <c r="AA4" i="17"/>
  <c r="AA27" i="15"/>
  <c r="AA10" i="16"/>
  <c r="AA40" i="15"/>
  <c r="AA4" i="14"/>
  <c r="AA4" i="16"/>
  <c r="AA28" i="13"/>
  <c r="AA59" i="12"/>
  <c r="AA19" i="13"/>
  <c r="AA82" i="12"/>
  <c r="AA4" i="13"/>
  <c r="AA69" i="12"/>
  <c r="AA46" i="12"/>
  <c r="AA18" i="12"/>
  <c r="AA4" i="12"/>
  <c r="AA4" i="10"/>
  <c r="AA35" i="9"/>
  <c r="AA4" i="8"/>
  <c r="AA23" i="11"/>
  <c r="AA4" i="11"/>
  <c r="AA19" i="10"/>
  <c r="AA346" i="6"/>
  <c r="AA347" i="6" s="1"/>
  <c r="AA12" i="10"/>
  <c r="AA4" i="9"/>
  <c r="AA4" i="7"/>
  <c r="AA351" i="6"/>
  <c r="AA352" i="6" s="1"/>
  <c r="AA10" i="9"/>
  <c r="AA296" i="6"/>
  <c r="AA297" i="6" s="1"/>
  <c r="AA259" i="6"/>
  <c r="AA331" i="6"/>
  <c r="AA332" i="6" s="1"/>
  <c r="AA320" i="6"/>
  <c r="AA275" i="6"/>
  <c r="AA336" i="6"/>
  <c r="AA337" i="6" s="1"/>
  <c r="AA301" i="6"/>
  <c r="AA302" i="6" s="1"/>
  <c r="AA312" i="6"/>
  <c r="AA188" i="6"/>
  <c r="AA126" i="6"/>
  <c r="AA100" i="6"/>
  <c r="AA106" i="6"/>
  <c r="AA66" i="6"/>
  <c r="AA202" i="6"/>
  <c r="AA80" i="6"/>
  <c r="AA140" i="6"/>
  <c r="AA86" i="6"/>
  <c r="AA93" i="6"/>
  <c r="AA40" i="6"/>
  <c r="AB28" i="6"/>
  <c r="AA23" i="6"/>
  <c r="AA24" i="6" s="1"/>
  <c r="AA60" i="6"/>
  <c r="AA4" i="6"/>
  <c r="AA33" i="6"/>
  <c r="AA11" i="6"/>
  <c r="AA12" i="6" s="1"/>
  <c r="AA73" i="6"/>
  <c r="AA53" i="6"/>
  <c r="AA46" i="6"/>
  <c r="AA35" i="10"/>
  <c r="P25" i="12"/>
  <c r="P50" i="12"/>
  <c r="X203" i="6"/>
  <c r="X224" i="6"/>
  <c r="O33" i="13"/>
  <c r="M10" i="37"/>
  <c r="H26" i="49" s="1"/>
  <c r="M24" i="12"/>
  <c r="M26" i="12" s="1"/>
  <c r="N20" i="10"/>
  <c r="O14" i="13"/>
  <c r="O13" i="28" s="1"/>
  <c r="O30" i="13"/>
  <c r="P8" i="31"/>
  <c r="J23" i="51" s="1"/>
  <c r="Q20" i="13"/>
  <c r="X54" i="6"/>
  <c r="X67" i="6"/>
  <c r="X61" i="6"/>
  <c r="X8" i="37"/>
  <c r="X16" i="12"/>
  <c r="X34" i="10"/>
  <c r="X41" i="10"/>
  <c r="X43" i="10" s="1"/>
  <c r="X25" i="14" s="1"/>
  <c r="X26" i="14" s="1"/>
  <c r="X21" i="10"/>
  <c r="Z3" i="4"/>
  <c r="Z3" i="40"/>
  <c r="Z3" i="37"/>
  <c r="Z3" i="34"/>
  <c r="Z3" i="31"/>
  <c r="Z3" i="28"/>
  <c r="Z3" i="22"/>
  <c r="Z3" i="21"/>
  <c r="Z3" i="20"/>
  <c r="Z3" i="19"/>
  <c r="Z3" i="16"/>
  <c r="Z3" i="18"/>
  <c r="Z3" i="17"/>
  <c r="Z3" i="15"/>
  <c r="Z3" i="14"/>
  <c r="Z3" i="13"/>
  <c r="Z3" i="12"/>
  <c r="Z3" i="11"/>
  <c r="Z3" i="10"/>
  <c r="Z3" i="9"/>
  <c r="Z3" i="7"/>
  <c r="Z3" i="8"/>
  <c r="Z99" i="6"/>
  <c r="Z79" i="6"/>
  <c r="Z3" i="6"/>
  <c r="Z39" i="6"/>
  <c r="Z59" i="6"/>
  <c r="M16" i="37"/>
  <c r="M71" i="12"/>
  <c r="M73" i="12" s="1"/>
  <c r="M63" i="12"/>
  <c r="M65" i="12" s="1"/>
  <c r="W19" i="37"/>
  <c r="X83" i="12"/>
  <c r="X85" i="12" s="1"/>
  <c r="M16" i="19"/>
  <c r="M17" i="19" s="1"/>
  <c r="M20" i="15"/>
  <c r="M42" i="15"/>
  <c r="M25" i="11"/>
  <c r="W12" i="14"/>
  <c r="W49" i="15"/>
  <c r="W27" i="14"/>
  <c r="W9" i="28" s="1"/>
  <c r="W34" i="15"/>
  <c r="X26" i="31"/>
  <c r="R41" i="51" s="1"/>
  <c r="Y11" i="21"/>
  <c r="Y13" i="21" s="1"/>
  <c r="X29" i="9"/>
  <c r="X13" i="37"/>
  <c r="X20" i="18"/>
  <c r="X22" i="18" s="1"/>
  <c r="X49" i="12"/>
  <c r="X61" i="12"/>
  <c r="Y40" i="12"/>
  <c r="Y41" i="12" s="1"/>
  <c r="Y32" i="12"/>
  <c r="Y13" i="10"/>
  <c r="Y14" i="10" s="1"/>
  <c r="Z14" i="17"/>
  <c r="Z29" i="17"/>
  <c r="Z18" i="34" s="1"/>
  <c r="T57" i="51" s="1"/>
  <c r="N14" i="16"/>
  <c r="N28" i="16"/>
  <c r="X141" i="6"/>
  <c r="X162" i="6"/>
  <c r="Y2" i="40"/>
  <c r="Y2" i="4"/>
  <c r="Y2" i="37"/>
  <c r="Y2" i="34"/>
  <c r="Y2" i="31"/>
  <c r="Y2" i="28"/>
  <c r="Y2" i="22"/>
  <c r="Y60" i="20"/>
  <c r="Y2" i="21"/>
  <c r="Y2" i="20"/>
  <c r="Y2" i="19"/>
  <c r="Y2" i="17"/>
  <c r="Y2" i="18"/>
  <c r="Y2" i="16"/>
  <c r="Y2" i="15"/>
  <c r="Y2" i="13"/>
  <c r="Y2" i="14"/>
  <c r="Y2" i="12"/>
  <c r="Y2" i="11"/>
  <c r="Y2" i="10"/>
  <c r="Y241" i="6"/>
  <c r="Y243" i="6" s="1"/>
  <c r="Y20" i="16" s="1"/>
  <c r="Y2" i="7"/>
  <c r="Y2" i="9"/>
  <c r="Y282" i="6"/>
  <c r="Y284" i="6" s="1"/>
  <c r="Y276" i="6" s="1"/>
  <c r="Y277" i="6" s="1"/>
  <c r="Y270" i="6" s="1"/>
  <c r="Y249" i="6"/>
  <c r="Y251" i="6" s="1"/>
  <c r="Y21" i="18" s="1"/>
  <c r="Y2" i="8"/>
  <c r="Y319" i="6"/>
  <c r="Y321" i="6" s="1"/>
  <c r="Y233" i="6"/>
  <c r="Y235" i="6" s="1"/>
  <c r="Y21" i="17" s="1"/>
  <c r="Y313" i="6"/>
  <c r="Z314" i="6" s="1"/>
  <c r="Y120" i="6"/>
  <c r="Y122" i="6" s="1"/>
  <c r="Y127" i="6" s="1"/>
  <c r="Y128" i="6" s="1"/>
  <c r="Y132" i="6" s="1"/>
  <c r="Y209" i="6"/>
  <c r="Y114" i="6"/>
  <c r="Y115" i="6" s="1"/>
  <c r="Y92" i="6"/>
  <c r="Y182" i="6"/>
  <c r="Y184" i="6" s="1"/>
  <c r="Y189" i="6" s="1"/>
  <c r="Y190" i="6" s="1"/>
  <c r="Y194" i="6" s="1"/>
  <c r="Y147" i="6"/>
  <c r="Y176" i="6"/>
  <c r="Y177" i="6" s="1"/>
  <c r="Y72" i="6"/>
  <c r="Y52" i="6"/>
  <c r="Y2" i="6"/>
  <c r="Y32" i="6"/>
  <c r="L13" i="16"/>
  <c r="L15" i="16" s="1"/>
  <c r="L24" i="34"/>
  <c r="F63" i="51" s="1"/>
  <c r="Z74" i="6"/>
  <c r="Z81" i="6"/>
  <c r="Z87" i="6"/>
  <c r="Y18" i="37"/>
  <c r="T30" i="49" s="1"/>
  <c r="Y31" i="13"/>
  <c r="Y84" i="12"/>
  <c r="Y23" i="13"/>
  <c r="Y62" i="12"/>
  <c r="Y61" i="20"/>
  <c r="Y67" i="20" s="1"/>
  <c r="Q5" i="51" l="1"/>
  <c r="R18" i="49"/>
  <c r="F31" i="51"/>
  <c r="G9" i="49"/>
  <c r="F33" i="51"/>
  <c r="G10" i="49"/>
  <c r="I9" i="51"/>
  <c r="J20" i="49"/>
  <c r="L17" i="31"/>
  <c r="M11" i="16"/>
  <c r="Y224" i="6"/>
  <c r="Y203" i="6"/>
  <c r="Y8" i="37"/>
  <c r="Y16" i="12"/>
  <c r="Y21" i="10"/>
  <c r="Y34" i="10"/>
  <c r="Y41" i="10"/>
  <c r="Y43" i="10" s="1"/>
  <c r="Y25" i="14" s="1"/>
  <c r="Y26" i="14" s="1"/>
  <c r="M21" i="19"/>
  <c r="M21" i="15"/>
  <c r="M43" i="15"/>
  <c r="Y61" i="6"/>
  <c r="Y54" i="6"/>
  <c r="Y67" i="6"/>
  <c r="X21" i="34"/>
  <c r="R60" i="51" s="1"/>
  <c r="X12" i="18"/>
  <c r="N28" i="10"/>
  <c r="P12" i="37"/>
  <c r="K27" i="49" s="1"/>
  <c r="P12" i="13"/>
  <c r="P13" i="13" s="1"/>
  <c r="Q47" i="12"/>
  <c r="AA47" i="6"/>
  <c r="AA34" i="6"/>
  <c r="AA41" i="6"/>
  <c r="AA107" i="6"/>
  <c r="AA94" i="6"/>
  <c r="AA101" i="6"/>
  <c r="Y13" i="37"/>
  <c r="Y20" i="18"/>
  <c r="Y49" i="12"/>
  <c r="Y61" i="12"/>
  <c r="Q11" i="13"/>
  <c r="Q24" i="13"/>
  <c r="M31" i="12"/>
  <c r="AA74" i="6"/>
  <c r="AA81" i="6"/>
  <c r="AA87" i="6"/>
  <c r="M27" i="18"/>
  <c r="M28" i="18" s="1"/>
  <c r="M40" i="18"/>
  <c r="M41" i="18" s="1"/>
  <c r="AA9" i="37"/>
  <c r="AA17" i="12"/>
  <c r="AA42" i="10"/>
  <c r="AA22" i="10"/>
  <c r="AA3" i="40"/>
  <c r="AA3" i="4"/>
  <c r="AA3" i="37"/>
  <c r="AA3" i="34"/>
  <c r="AA3" i="31"/>
  <c r="AA3" i="28"/>
  <c r="AA3" i="22"/>
  <c r="AA3" i="21"/>
  <c r="AA3" i="20"/>
  <c r="AA3" i="19"/>
  <c r="AA3" i="18"/>
  <c r="AA3" i="17"/>
  <c r="AA3" i="14"/>
  <c r="AA3" i="16"/>
  <c r="AA3" i="15"/>
  <c r="AA3" i="13"/>
  <c r="AA3" i="12"/>
  <c r="AA3" i="11"/>
  <c r="AA3" i="10"/>
  <c r="AA3" i="8"/>
  <c r="AA3" i="7"/>
  <c r="AA3" i="9"/>
  <c r="AA99" i="6"/>
  <c r="AA59" i="6"/>
  <c r="AA79" i="6"/>
  <c r="AA39" i="6"/>
  <c r="AA3" i="6"/>
  <c r="Z2" i="4"/>
  <c r="Z2" i="40"/>
  <c r="Z2" i="37"/>
  <c r="Z2" i="34"/>
  <c r="Z2" i="31"/>
  <c r="Z2" i="21"/>
  <c r="Z2" i="22"/>
  <c r="Z2" i="28"/>
  <c r="Z60" i="20"/>
  <c r="Z2" i="19"/>
  <c r="Z2" i="20"/>
  <c r="Z2" i="17"/>
  <c r="Z2" i="18"/>
  <c r="Z2" i="16"/>
  <c r="Z2" i="15"/>
  <c r="Z2" i="14"/>
  <c r="Z2" i="13"/>
  <c r="Z2" i="12"/>
  <c r="Z2" i="10"/>
  <c r="Z2" i="9"/>
  <c r="Z2" i="11"/>
  <c r="Z2" i="7"/>
  <c r="Z282" i="6"/>
  <c r="Z284" i="6" s="1"/>
  <c r="Z276" i="6" s="1"/>
  <c r="Z277" i="6" s="1"/>
  <c r="Z270" i="6" s="1"/>
  <c r="Z249" i="6"/>
  <c r="Z251" i="6" s="1"/>
  <c r="Z21" i="18" s="1"/>
  <c r="Z2" i="8"/>
  <c r="Z319" i="6"/>
  <c r="Z321" i="6" s="1"/>
  <c r="Z233" i="6"/>
  <c r="Z235" i="6" s="1"/>
  <c r="Z21" i="17" s="1"/>
  <c r="Z209" i="6"/>
  <c r="Z313" i="6"/>
  <c r="AA314" i="6" s="1"/>
  <c r="Z241" i="6"/>
  <c r="Z243" i="6" s="1"/>
  <c r="Z20" i="16" s="1"/>
  <c r="Z182" i="6"/>
  <c r="Z184" i="6" s="1"/>
  <c r="Z189" i="6" s="1"/>
  <c r="Z190" i="6" s="1"/>
  <c r="Z194" i="6" s="1"/>
  <c r="Z120" i="6"/>
  <c r="Z122" i="6" s="1"/>
  <c r="Z127" i="6" s="1"/>
  <c r="Z128" i="6" s="1"/>
  <c r="Z132" i="6" s="1"/>
  <c r="Z114" i="6"/>
  <c r="Z115" i="6" s="1"/>
  <c r="Z92" i="6"/>
  <c r="Z52" i="6"/>
  <c r="Z147" i="6"/>
  <c r="Z176" i="6"/>
  <c r="Z177" i="6" s="1"/>
  <c r="Z2" i="6"/>
  <c r="Z32" i="6"/>
  <c r="Z72" i="6"/>
  <c r="Y22" i="18"/>
  <c r="X19" i="37"/>
  <c r="Y83" i="12"/>
  <c r="Y85" i="12" s="1"/>
  <c r="Y162" i="6"/>
  <c r="Y141" i="6"/>
  <c r="M17" i="37"/>
  <c r="H29" i="49" s="1"/>
  <c r="N70" i="12"/>
  <c r="M17" i="11"/>
  <c r="M18" i="11" s="1"/>
  <c r="AB4" i="4"/>
  <c r="AB4" i="40"/>
  <c r="AB4" i="37"/>
  <c r="AB4" i="34"/>
  <c r="AB4" i="31"/>
  <c r="AB4" i="28"/>
  <c r="AB4" i="22"/>
  <c r="AB4" i="21"/>
  <c r="AB10" i="21"/>
  <c r="AB74" i="20"/>
  <c r="AB32" i="20"/>
  <c r="AB4" i="18"/>
  <c r="AB4" i="20"/>
  <c r="AB28" i="19"/>
  <c r="AB4" i="19"/>
  <c r="AB10" i="18"/>
  <c r="AB10" i="17"/>
  <c r="AB27" i="15"/>
  <c r="AB4" i="17"/>
  <c r="AB40" i="15"/>
  <c r="AB10" i="16"/>
  <c r="AB4" i="14"/>
  <c r="AB4" i="15"/>
  <c r="AB4" i="16"/>
  <c r="AB28" i="13"/>
  <c r="AB19" i="13"/>
  <c r="AB82" i="12"/>
  <c r="AB4" i="13"/>
  <c r="AB46" i="12"/>
  <c r="AB23" i="11"/>
  <c r="AB18" i="12"/>
  <c r="AB59" i="12"/>
  <c r="AB4" i="12"/>
  <c r="AB69" i="12"/>
  <c r="AB4" i="11"/>
  <c r="AB19" i="10"/>
  <c r="AB12" i="10"/>
  <c r="AB4" i="10"/>
  <c r="AB35" i="9"/>
  <c r="AB4" i="8"/>
  <c r="AB320" i="6"/>
  <c r="AB351" i="6"/>
  <c r="AB352" i="6" s="1"/>
  <c r="AB259" i="6"/>
  <c r="AB331" i="6"/>
  <c r="AB332" i="6" s="1"/>
  <c r="AB275" i="6"/>
  <c r="AB336" i="6"/>
  <c r="AB337" i="6" s="1"/>
  <c r="AB301" i="6"/>
  <c r="AB302" i="6" s="1"/>
  <c r="AB202" i="6"/>
  <c r="AB4" i="9"/>
  <c r="AB4" i="7"/>
  <c r="AB312" i="6"/>
  <c r="AB10" i="9"/>
  <c r="AB346" i="6"/>
  <c r="AB347" i="6" s="1"/>
  <c r="AB296" i="6"/>
  <c r="AB297" i="6" s="1"/>
  <c r="AB106" i="6"/>
  <c r="AB188" i="6"/>
  <c r="AB73" i="6"/>
  <c r="AB80" i="6"/>
  <c r="AB140" i="6"/>
  <c r="AB86" i="6"/>
  <c r="AB93" i="6"/>
  <c r="AB126" i="6"/>
  <c r="AB100" i="6"/>
  <c r="AB46" i="6"/>
  <c r="AB40" i="6"/>
  <c r="AB60" i="6"/>
  <c r="AB4" i="6"/>
  <c r="AB33" i="6"/>
  <c r="AB11" i="6"/>
  <c r="AB12" i="6" s="1"/>
  <c r="AB53" i="6"/>
  <c r="AC28" i="6"/>
  <c r="AB66" i="6"/>
  <c r="AB23" i="6"/>
  <c r="AB24" i="6" s="1"/>
  <c r="AB35" i="10"/>
  <c r="Z61" i="20"/>
  <c r="Z67" i="20" s="1"/>
  <c r="M15" i="37"/>
  <c r="H28" i="49" s="1"/>
  <c r="N60" i="12"/>
  <c r="Y26" i="31"/>
  <c r="S41" i="51" s="1"/>
  <c r="Z11" i="21"/>
  <c r="Z13" i="21" s="1"/>
  <c r="Y29" i="9"/>
  <c r="X49" i="15"/>
  <c r="X27" i="14"/>
  <c r="X9" i="28" s="1"/>
  <c r="X34" i="15"/>
  <c r="X12" i="14"/>
  <c r="AA14" i="37"/>
  <c r="AA64" i="12"/>
  <c r="AA72" i="12"/>
  <c r="AA76" i="12"/>
  <c r="AA77" i="12" s="1"/>
  <c r="M45" i="15"/>
  <c r="O34" i="13"/>
  <c r="P29" i="13"/>
  <c r="M40" i="17"/>
  <c r="M41" i="17" s="1"/>
  <c r="Z18" i="37"/>
  <c r="U30" i="49" s="1"/>
  <c r="Z23" i="13"/>
  <c r="Z31" i="13"/>
  <c r="Z62" i="12"/>
  <c r="Z84" i="12"/>
  <c r="N20" i="34"/>
  <c r="H59" i="51" s="1"/>
  <c r="O22" i="15"/>
  <c r="AA59" i="20"/>
  <c r="AA53" i="20"/>
  <c r="AA54" i="20" s="1"/>
  <c r="AA58" i="20" s="1"/>
  <c r="AA250" i="6"/>
  <c r="AA242" i="6"/>
  <c r="AA290" i="6"/>
  <c r="AA291" i="6" s="1"/>
  <c r="AA283" i="6"/>
  <c r="AA234" i="6"/>
  <c r="AA183" i="6"/>
  <c r="AA121" i="6"/>
  <c r="AA18" i="6"/>
  <c r="AA19" i="6" s="1"/>
  <c r="AA14" i="17"/>
  <c r="AA29" i="17"/>
  <c r="AA18" i="34" s="1"/>
  <c r="U57" i="51" s="1"/>
  <c r="Z40" i="12"/>
  <c r="Z41" i="12" s="1"/>
  <c r="Z32" i="12"/>
  <c r="Z13" i="10"/>
  <c r="Z14" i="10" s="1"/>
  <c r="R5" i="51" l="1"/>
  <c r="S18" i="49"/>
  <c r="F32" i="51"/>
  <c r="G8" i="49"/>
  <c r="M42" i="18"/>
  <c r="M33" i="18"/>
  <c r="M46" i="18"/>
  <c r="M47" i="18" s="1"/>
  <c r="P14" i="13"/>
  <c r="P30" i="13"/>
  <c r="P33" i="13" s="1"/>
  <c r="Y49" i="15"/>
  <c r="Y27" i="14"/>
  <c r="Y9" i="28" s="1"/>
  <c r="Y34" i="15"/>
  <c r="Y12" i="14"/>
  <c r="M14" i="18"/>
  <c r="M29" i="18"/>
  <c r="N27" i="10"/>
  <c r="N29" i="10" s="1"/>
  <c r="O8" i="34"/>
  <c r="I47" i="51" s="1"/>
  <c r="O44" i="15"/>
  <c r="AB94" i="6"/>
  <c r="AB101" i="6"/>
  <c r="AB107" i="6"/>
  <c r="Q8" i="31"/>
  <c r="K23" i="51" s="1"/>
  <c r="R20" i="13"/>
  <c r="O9" i="31"/>
  <c r="I24" i="51" s="1"/>
  <c r="AB9" i="37"/>
  <c r="AB17" i="12"/>
  <c r="AB42" i="10"/>
  <c r="AB22" i="10"/>
  <c r="Z8" i="37"/>
  <c r="Z16" i="12"/>
  <c r="Z34" i="10"/>
  <c r="Z41" i="10"/>
  <c r="Z43" i="10" s="1"/>
  <c r="Z25" i="14" s="1"/>
  <c r="Z26" i="14" s="1"/>
  <c r="Z21" i="10"/>
  <c r="AA32" i="12"/>
  <c r="AA40" i="12"/>
  <c r="AA41" i="12" s="1"/>
  <c r="AA13" i="10"/>
  <c r="AA14" i="10" s="1"/>
  <c r="AB3" i="40"/>
  <c r="AB3" i="4"/>
  <c r="AB3" i="37"/>
  <c r="AB3" i="34"/>
  <c r="AB3" i="28"/>
  <c r="AB3" i="31"/>
  <c r="AB3" i="22"/>
  <c r="AB3" i="21"/>
  <c r="AB3" i="20"/>
  <c r="AB3" i="19"/>
  <c r="AB3" i="18"/>
  <c r="AB3" i="17"/>
  <c r="AB3" i="16"/>
  <c r="AB3" i="15"/>
  <c r="AB3" i="14"/>
  <c r="AB3" i="13"/>
  <c r="AB3" i="11"/>
  <c r="AB3" i="12"/>
  <c r="AB3" i="10"/>
  <c r="AB3" i="8"/>
  <c r="AB3" i="7"/>
  <c r="AB3" i="9"/>
  <c r="AB99" i="6"/>
  <c r="AB79" i="6"/>
  <c r="AB39" i="6"/>
  <c r="AB59" i="6"/>
  <c r="AB3" i="6"/>
  <c r="Z224" i="6"/>
  <c r="Z203" i="6"/>
  <c r="AA18" i="37"/>
  <c r="V30" i="49" s="1"/>
  <c r="AA23" i="13"/>
  <c r="AA31" i="13"/>
  <c r="AA62" i="12"/>
  <c r="AA84" i="12"/>
  <c r="Y19" i="37"/>
  <c r="Z83" i="12"/>
  <c r="Z85" i="12" s="1"/>
  <c r="Z13" i="37"/>
  <c r="Z20" i="18"/>
  <c r="Z22" i="18" s="1"/>
  <c r="Z49" i="12"/>
  <c r="Z61" i="12"/>
  <c r="AC4" i="4"/>
  <c r="AC4" i="37"/>
  <c r="AC4" i="40"/>
  <c r="AC4" i="34"/>
  <c r="AC4" i="31"/>
  <c r="AC4" i="28"/>
  <c r="AC4" i="22"/>
  <c r="AC4" i="21"/>
  <c r="AC4" i="20"/>
  <c r="AC10" i="21"/>
  <c r="AC74" i="20"/>
  <c r="AC4" i="19"/>
  <c r="AC32" i="20"/>
  <c r="AC28" i="19"/>
  <c r="AC10" i="17"/>
  <c r="AC10" i="18"/>
  <c r="AC4" i="18"/>
  <c r="AC4" i="17"/>
  <c r="AC40" i="15"/>
  <c r="AC4" i="14"/>
  <c r="AC4" i="15"/>
  <c r="AC4" i="16"/>
  <c r="AC10" i="16"/>
  <c r="AC27" i="15"/>
  <c r="AC19" i="13"/>
  <c r="AC4" i="13"/>
  <c r="AC82" i="12"/>
  <c r="AC46" i="12"/>
  <c r="AC28" i="13"/>
  <c r="AC4" i="11"/>
  <c r="AC18" i="12"/>
  <c r="AC59" i="12"/>
  <c r="AC4" i="12"/>
  <c r="AC69" i="12"/>
  <c r="AC23" i="11"/>
  <c r="AC19" i="10"/>
  <c r="AC336" i="6"/>
  <c r="AC337" i="6" s="1"/>
  <c r="AC12" i="10"/>
  <c r="AC4" i="9"/>
  <c r="AC4" i="10"/>
  <c r="AC35" i="9"/>
  <c r="AC331" i="6"/>
  <c r="AC332" i="6" s="1"/>
  <c r="AC275" i="6"/>
  <c r="AC320" i="6"/>
  <c r="AC301" i="6"/>
  <c r="AC302" i="6" s="1"/>
  <c r="AC4" i="8"/>
  <c r="AC4" i="7"/>
  <c r="AC312" i="6"/>
  <c r="AC10" i="9"/>
  <c r="AC346" i="6"/>
  <c r="AC347" i="6" s="1"/>
  <c r="AC296" i="6"/>
  <c r="AC297" i="6" s="1"/>
  <c r="AC351" i="6"/>
  <c r="AC352" i="6" s="1"/>
  <c r="AC259" i="6"/>
  <c r="AC188" i="6"/>
  <c r="AC202" i="6"/>
  <c r="AC80" i="6"/>
  <c r="AC4" i="6"/>
  <c r="AC140" i="6"/>
  <c r="AC86" i="6"/>
  <c r="AC93" i="6"/>
  <c r="AC126" i="6"/>
  <c r="AC100" i="6"/>
  <c r="AC106" i="6"/>
  <c r="AC53" i="6"/>
  <c r="AC23" i="6"/>
  <c r="AC24" i="6" s="1"/>
  <c r="AC60" i="6"/>
  <c r="AC33" i="6"/>
  <c r="AC11" i="6"/>
  <c r="AC12" i="6" s="1"/>
  <c r="AC73" i="6"/>
  <c r="AD28" i="6"/>
  <c r="AC66" i="6"/>
  <c r="AC46" i="6"/>
  <c r="AC40" i="6"/>
  <c r="AC35" i="10"/>
  <c r="AB47" i="6"/>
  <c r="AB41" i="6"/>
  <c r="AB34" i="6"/>
  <c r="AB14" i="37"/>
  <c r="AB72" i="12"/>
  <c r="AB76" i="12"/>
  <c r="AB77" i="12" s="1"/>
  <c r="AB64" i="12"/>
  <c r="M39" i="16"/>
  <c r="M40" i="16" s="1"/>
  <c r="AA2" i="4"/>
  <c r="AA2" i="40"/>
  <c r="AA2" i="37"/>
  <c r="AA2" i="34"/>
  <c r="AA2" i="31"/>
  <c r="AA2" i="28"/>
  <c r="AA60" i="20"/>
  <c r="AA2" i="22"/>
  <c r="AA2" i="21"/>
  <c r="AA2" i="20"/>
  <c r="AA2" i="18"/>
  <c r="AA2" i="19"/>
  <c r="AA2" i="17"/>
  <c r="AA2" i="16"/>
  <c r="AA2" i="15"/>
  <c r="AA2" i="14"/>
  <c r="AA2" i="13"/>
  <c r="AA2" i="12"/>
  <c r="AA2" i="11"/>
  <c r="AA2" i="10"/>
  <c r="AA2" i="9"/>
  <c r="AA2" i="7"/>
  <c r="AA282" i="6"/>
  <c r="AA284" i="6" s="1"/>
  <c r="AA276" i="6" s="1"/>
  <c r="AA277" i="6" s="1"/>
  <c r="AA270" i="6" s="1"/>
  <c r="AA249" i="6"/>
  <c r="AA251" i="6" s="1"/>
  <c r="AA21" i="18" s="1"/>
  <c r="AA2" i="8"/>
  <c r="AA319" i="6"/>
  <c r="AA321" i="6" s="1"/>
  <c r="AA313" i="6"/>
  <c r="AB314" i="6" s="1"/>
  <c r="AA241" i="6"/>
  <c r="AA243" i="6" s="1"/>
  <c r="AA20" i="16" s="1"/>
  <c r="AA176" i="6"/>
  <c r="AA177" i="6" s="1"/>
  <c r="AA114" i="6"/>
  <c r="AA115" i="6" s="1"/>
  <c r="AA92" i="6"/>
  <c r="AA209" i="6"/>
  <c r="AA233" i="6"/>
  <c r="AA235" i="6" s="1"/>
  <c r="AA21" i="17" s="1"/>
  <c r="AA182" i="6"/>
  <c r="AA184" i="6" s="1"/>
  <c r="AA189" i="6" s="1"/>
  <c r="AA190" i="6" s="1"/>
  <c r="AA194" i="6" s="1"/>
  <c r="AA147" i="6"/>
  <c r="AA120" i="6"/>
  <c r="AA122" i="6" s="1"/>
  <c r="AA127" i="6" s="1"/>
  <c r="AA128" i="6" s="1"/>
  <c r="AA132" i="6" s="1"/>
  <c r="AA32" i="6"/>
  <c r="AA2" i="6"/>
  <c r="AA72" i="6"/>
  <c r="AA52" i="6"/>
  <c r="AA61" i="20"/>
  <c r="AA67" i="20" s="1"/>
  <c r="M10" i="31"/>
  <c r="G25" i="51" s="1"/>
  <c r="N41" i="15"/>
  <c r="Z26" i="31"/>
  <c r="T41" i="51" s="1"/>
  <c r="AA11" i="21"/>
  <c r="AA13" i="21" s="1"/>
  <c r="Z29" i="9"/>
  <c r="AB74" i="6"/>
  <c r="AB81" i="6"/>
  <c r="AB87" i="6"/>
  <c r="M8" i="28"/>
  <c r="M19" i="16"/>
  <c r="M21" i="16" s="1"/>
  <c r="M26" i="11"/>
  <c r="M27" i="11" s="1"/>
  <c r="Y21" i="34"/>
  <c r="S60" i="51" s="1"/>
  <c r="Y12" i="18"/>
  <c r="Z67" i="6"/>
  <c r="Z61" i="6"/>
  <c r="Z54" i="6"/>
  <c r="M46" i="17"/>
  <c r="M47" i="17" s="1"/>
  <c r="M42" i="17"/>
  <c r="M33" i="17"/>
  <c r="AB59" i="20"/>
  <c r="AB53" i="20"/>
  <c r="AB54" i="20" s="1"/>
  <c r="AB58" i="20" s="1"/>
  <c r="AB234" i="6"/>
  <c r="AB242" i="6"/>
  <c r="AB183" i="6"/>
  <c r="AB290" i="6"/>
  <c r="AB291" i="6" s="1"/>
  <c r="AB283" i="6"/>
  <c r="AB250" i="6"/>
  <c r="AB121" i="6"/>
  <c r="AB18" i="6"/>
  <c r="AB19" i="6" s="1"/>
  <c r="Z162" i="6"/>
  <c r="Z141" i="6"/>
  <c r="Q25" i="12"/>
  <c r="Q50" i="12"/>
  <c r="S5" i="51" l="1"/>
  <c r="T18" i="49"/>
  <c r="G4" i="51"/>
  <c r="H12" i="49"/>
  <c r="Z21" i="34"/>
  <c r="T60" i="51" s="1"/>
  <c r="Z12" i="18"/>
  <c r="M48" i="17"/>
  <c r="M34" i="17"/>
  <c r="M35" i="17" s="1"/>
  <c r="AB18" i="37"/>
  <c r="W30" i="49" s="1"/>
  <c r="AB31" i="13"/>
  <c r="AB23" i="13"/>
  <c r="AB62" i="12"/>
  <c r="AB84" i="12"/>
  <c r="AC94" i="6"/>
  <c r="AC101" i="6"/>
  <c r="AC107" i="6"/>
  <c r="Q12" i="37"/>
  <c r="L27" i="49" s="1"/>
  <c r="Q12" i="13"/>
  <c r="Q13" i="13" s="1"/>
  <c r="R47" i="12"/>
  <c r="M16" i="28"/>
  <c r="AC34" i="6"/>
  <c r="AC47" i="6"/>
  <c r="AC41" i="6"/>
  <c r="AC74" i="6"/>
  <c r="AC81" i="6"/>
  <c r="AC87" i="6"/>
  <c r="Z49" i="15"/>
  <c r="Z34" i="15"/>
  <c r="Z27" i="14"/>
  <c r="Z9" i="28" s="1"/>
  <c r="Z12" i="14"/>
  <c r="M48" i="18"/>
  <c r="M34" i="18"/>
  <c r="M35" i="18" s="1"/>
  <c r="AC53" i="20"/>
  <c r="AC54" i="20" s="1"/>
  <c r="AC58" i="20" s="1"/>
  <c r="AC59" i="20"/>
  <c r="AC234" i="6"/>
  <c r="AC242" i="6"/>
  <c r="AC290" i="6"/>
  <c r="AC291" i="6" s="1"/>
  <c r="AC283" i="6"/>
  <c r="AC250" i="6"/>
  <c r="AC183" i="6"/>
  <c r="AC121" i="6"/>
  <c r="AC18" i="6"/>
  <c r="AC19" i="6" s="1"/>
  <c r="R11" i="13"/>
  <c r="R24" i="13"/>
  <c r="P13" i="28"/>
  <c r="AB2" i="40"/>
  <c r="AB2" i="4"/>
  <c r="AB2" i="37"/>
  <c r="AB2" i="34"/>
  <c r="AB2" i="31"/>
  <c r="AB2" i="22"/>
  <c r="AB2" i="28"/>
  <c r="AB60" i="20"/>
  <c r="AB61" i="20" s="1"/>
  <c r="AB67" i="20" s="1"/>
  <c r="AB2" i="21"/>
  <c r="AB2" i="20"/>
  <c r="AB2" i="18"/>
  <c r="AB2" i="19"/>
  <c r="AB2" i="17"/>
  <c r="AB2" i="14"/>
  <c r="AB2" i="16"/>
  <c r="AB2" i="15"/>
  <c r="AB2" i="13"/>
  <c r="AB2" i="12"/>
  <c r="AB2" i="11"/>
  <c r="AB2" i="10"/>
  <c r="AB2" i="8"/>
  <c r="AB249" i="6"/>
  <c r="AB251" i="6" s="1"/>
  <c r="AB21" i="18" s="1"/>
  <c r="AB2" i="9"/>
  <c r="AB319" i="6"/>
  <c r="AB321" i="6" s="1"/>
  <c r="AB313" i="6"/>
  <c r="AB241" i="6"/>
  <c r="AB243" i="6" s="1"/>
  <c r="AB20" i="16" s="1"/>
  <c r="AB2" i="7"/>
  <c r="AB282" i="6"/>
  <c r="AB284" i="6" s="1"/>
  <c r="AB276" i="6" s="1"/>
  <c r="AB277" i="6" s="1"/>
  <c r="AB270" i="6" s="1"/>
  <c r="AB209" i="6"/>
  <c r="AB233" i="6"/>
  <c r="AB235" i="6" s="1"/>
  <c r="AB21" i="17" s="1"/>
  <c r="AB182" i="6"/>
  <c r="AB184" i="6" s="1"/>
  <c r="AB189" i="6" s="1"/>
  <c r="AB190" i="6" s="1"/>
  <c r="AB194" i="6" s="1"/>
  <c r="AB147" i="6"/>
  <c r="AB176" i="6"/>
  <c r="AB177" i="6" s="1"/>
  <c r="AB120" i="6"/>
  <c r="AB122" i="6" s="1"/>
  <c r="AB127" i="6" s="1"/>
  <c r="AB128" i="6" s="1"/>
  <c r="AB132" i="6" s="1"/>
  <c r="AB114" i="6"/>
  <c r="AB115" i="6" s="1"/>
  <c r="AB92" i="6"/>
  <c r="AB2" i="6"/>
  <c r="AB32" i="6"/>
  <c r="AB72" i="6"/>
  <c r="AB52" i="6"/>
  <c r="AA54" i="6"/>
  <c r="AA67" i="6"/>
  <c r="AA61" i="6"/>
  <c r="AA26" i="31"/>
  <c r="U41" i="51" s="1"/>
  <c r="AB11" i="21"/>
  <c r="AB13" i="21" s="1"/>
  <c r="AA29" i="9"/>
  <c r="AC9" i="37"/>
  <c r="AC17" i="12"/>
  <c r="AC42" i="10"/>
  <c r="AC22" i="10"/>
  <c r="AA8" i="37"/>
  <c r="AA16" i="12"/>
  <c r="AA41" i="10"/>
  <c r="AA43" i="10" s="1"/>
  <c r="AA25" i="14" s="1"/>
  <c r="AA26" i="14" s="1"/>
  <c r="AA34" i="10"/>
  <c r="AA21" i="10"/>
  <c r="M18" i="28"/>
  <c r="M32" i="16"/>
  <c r="M45" i="16"/>
  <c r="M46" i="16" s="1"/>
  <c r="M41" i="16"/>
  <c r="AC3" i="40"/>
  <c r="AC3" i="4"/>
  <c r="AC3" i="37"/>
  <c r="AC3" i="34"/>
  <c r="AC3" i="31"/>
  <c r="AC3" i="22"/>
  <c r="AC3" i="28"/>
  <c r="AC3" i="21"/>
  <c r="AC3" i="20"/>
  <c r="AC3" i="19"/>
  <c r="AC3" i="17"/>
  <c r="AC3" i="18"/>
  <c r="AC3" i="16"/>
  <c r="AC3" i="15"/>
  <c r="AC3" i="13"/>
  <c r="AC3" i="14"/>
  <c r="AC3" i="12"/>
  <c r="AC3" i="11"/>
  <c r="AC3" i="10"/>
  <c r="AC3" i="8"/>
  <c r="AC3" i="7"/>
  <c r="AC3" i="9"/>
  <c r="AC79" i="6"/>
  <c r="AC99" i="6"/>
  <c r="AC3" i="6"/>
  <c r="AC39" i="6"/>
  <c r="AC59" i="6"/>
  <c r="P34" i="13"/>
  <c r="P9" i="31" s="1"/>
  <c r="J24" i="51" s="1"/>
  <c r="Q29" i="13"/>
  <c r="AA13" i="37"/>
  <c r="AA20" i="18"/>
  <c r="AA22" i="18" s="1"/>
  <c r="AA61" i="12"/>
  <c r="AA49" i="12"/>
  <c r="AB32" i="12"/>
  <c r="AB40" i="12"/>
  <c r="AB13" i="10"/>
  <c r="AB14" i="10" s="1"/>
  <c r="AA162" i="6"/>
  <c r="AA141" i="6"/>
  <c r="AC314" i="6"/>
  <c r="M22" i="34"/>
  <c r="G61" i="51" s="1"/>
  <c r="M19" i="34"/>
  <c r="G58" i="51" s="1"/>
  <c r="M12" i="16"/>
  <c r="M26" i="16"/>
  <c r="O27" i="16" s="1"/>
  <c r="AA203" i="6"/>
  <c r="AA224" i="6"/>
  <c r="AC14" i="37"/>
  <c r="AC72" i="12"/>
  <c r="AC76" i="12"/>
  <c r="AC77" i="12" s="1"/>
  <c r="AC64" i="12"/>
  <c r="Z19" i="37"/>
  <c r="AA83" i="12"/>
  <c r="AA85" i="12" s="1"/>
  <c r="N11" i="11"/>
  <c r="N12" i="11" s="1"/>
  <c r="N53" i="12"/>
  <c r="N54" i="12" s="1"/>
  <c r="N23" i="10"/>
  <c r="N24" i="10" s="1"/>
  <c r="M14" i="31"/>
  <c r="G29" i="51" s="1"/>
  <c r="N24" i="11"/>
  <c r="AD4" i="40"/>
  <c r="AD4" i="4"/>
  <c r="AD4" i="37"/>
  <c r="AD4" i="34"/>
  <c r="AD4" i="31"/>
  <c r="AD4" i="28"/>
  <c r="AD10" i="21"/>
  <c r="AD4" i="22"/>
  <c r="AD4" i="21"/>
  <c r="AD74" i="20"/>
  <c r="AD32" i="20"/>
  <c r="AD28" i="19"/>
  <c r="AD4" i="20"/>
  <c r="AD4" i="19"/>
  <c r="AD10" i="17"/>
  <c r="AD4" i="16"/>
  <c r="AD10" i="18"/>
  <c r="AD4" i="18"/>
  <c r="AD4" i="17"/>
  <c r="AD10" i="16"/>
  <c r="AD40" i="15"/>
  <c r="AD4" i="15"/>
  <c r="AD27" i="15"/>
  <c r="AD4" i="14"/>
  <c r="AD19" i="13"/>
  <c r="AD82" i="12"/>
  <c r="AD4" i="13"/>
  <c r="AD46" i="12"/>
  <c r="AD28" i="13"/>
  <c r="AD69" i="12"/>
  <c r="AD18" i="12"/>
  <c r="AD59" i="12"/>
  <c r="AD4" i="12"/>
  <c r="AD23" i="11"/>
  <c r="AD4" i="11"/>
  <c r="AD19" i="10"/>
  <c r="AD10" i="9"/>
  <c r="AD12" i="10"/>
  <c r="AD4" i="9"/>
  <c r="AD4" i="7"/>
  <c r="AD351" i="6"/>
  <c r="AD352" i="6" s="1"/>
  <c r="AD4" i="10"/>
  <c r="AD35" i="9"/>
  <c r="AD4" i="8"/>
  <c r="AD320" i="6"/>
  <c r="AD301" i="6"/>
  <c r="AD302" i="6" s="1"/>
  <c r="AD336" i="6"/>
  <c r="AD337" i="6" s="1"/>
  <c r="AD312" i="6"/>
  <c r="AD188" i="6"/>
  <c r="AD346" i="6"/>
  <c r="AD347" i="6" s="1"/>
  <c r="AD296" i="6"/>
  <c r="AD297" i="6" s="1"/>
  <c r="AD259" i="6"/>
  <c r="AD331" i="6"/>
  <c r="AD332" i="6" s="1"/>
  <c r="AD275" i="6"/>
  <c r="AD202" i="6"/>
  <c r="AD80" i="6"/>
  <c r="AD140" i="6"/>
  <c r="AD86" i="6"/>
  <c r="AD33" i="6"/>
  <c r="AD11" i="6"/>
  <c r="AD12" i="6" s="1"/>
  <c r="AD93" i="6"/>
  <c r="AD126" i="6"/>
  <c r="AD100" i="6"/>
  <c r="AD106" i="6"/>
  <c r="AD60" i="6"/>
  <c r="AD73" i="6"/>
  <c r="AD53" i="6"/>
  <c r="AE28" i="6"/>
  <c r="AD66" i="6"/>
  <c r="AD46" i="6"/>
  <c r="AD40" i="6"/>
  <c r="AD23" i="6"/>
  <c r="AD24" i="6" s="1"/>
  <c r="AD4" i="6"/>
  <c r="AD35" i="10"/>
  <c r="G14" i="51" l="1"/>
  <c r="H23" i="49"/>
  <c r="J9" i="51"/>
  <c r="K20" i="49"/>
  <c r="T5" i="51"/>
  <c r="U18" i="49"/>
  <c r="G12" i="51"/>
  <c r="H21" i="49"/>
  <c r="M13" i="18"/>
  <c r="M15" i="18" s="1"/>
  <c r="AA21" i="34"/>
  <c r="U60" i="51" s="1"/>
  <c r="AA12" i="18"/>
  <c r="AB141" i="6"/>
  <c r="AB162" i="6"/>
  <c r="AD59" i="20"/>
  <c r="AD53" i="20"/>
  <c r="AD54" i="20" s="1"/>
  <c r="AD58" i="20" s="1"/>
  <c r="AD242" i="6"/>
  <c r="AD290" i="6"/>
  <c r="AD291" i="6" s="1"/>
  <c r="AD283" i="6"/>
  <c r="AD250" i="6"/>
  <c r="AD234" i="6"/>
  <c r="AD121" i="6"/>
  <c r="AD18" i="6"/>
  <c r="AD19" i="6" s="1"/>
  <c r="AD183" i="6"/>
  <c r="AA34" i="15"/>
  <c r="AA12" i="14"/>
  <c r="AA49" i="15"/>
  <c r="AA27" i="14"/>
  <c r="AA9" i="28" s="1"/>
  <c r="AC40" i="12"/>
  <c r="AC32" i="12"/>
  <c r="AC13" i="10"/>
  <c r="AC14" i="10" s="1"/>
  <c r="AE4" i="40"/>
  <c r="AE4" i="4"/>
  <c r="AE4" i="37"/>
  <c r="AE4" i="34"/>
  <c r="AE4" i="31"/>
  <c r="AE4" i="28"/>
  <c r="AE74" i="20"/>
  <c r="AE4" i="22"/>
  <c r="AE4" i="21"/>
  <c r="AE10" i="21"/>
  <c r="AE4" i="20"/>
  <c r="AE32" i="20"/>
  <c r="AE28" i="19"/>
  <c r="AE4" i="19"/>
  <c r="AE10" i="18"/>
  <c r="AE4" i="18"/>
  <c r="AE4" i="17"/>
  <c r="AE10" i="17"/>
  <c r="AE4" i="15"/>
  <c r="AE40" i="15"/>
  <c r="AE4" i="14"/>
  <c r="AE4" i="16"/>
  <c r="AE28" i="13"/>
  <c r="AE27" i="15"/>
  <c r="AE10" i="16"/>
  <c r="AE19" i="13"/>
  <c r="AE82" i="12"/>
  <c r="AE4" i="13"/>
  <c r="AE46" i="12"/>
  <c r="AE69" i="12"/>
  <c r="AE59" i="12"/>
  <c r="AE18" i="12"/>
  <c r="AE4" i="12"/>
  <c r="AE4" i="11"/>
  <c r="AE19" i="10"/>
  <c r="AE23" i="11"/>
  <c r="AE12" i="10"/>
  <c r="AE4" i="10"/>
  <c r="AE35" i="9"/>
  <c r="AE4" i="8"/>
  <c r="AE10" i="9"/>
  <c r="AE331" i="6"/>
  <c r="AE332" i="6" s="1"/>
  <c r="AE336" i="6"/>
  <c r="AE337" i="6" s="1"/>
  <c r="AE312" i="6"/>
  <c r="AE4" i="7"/>
  <c r="AE4" i="9"/>
  <c r="AE346" i="6"/>
  <c r="AE347" i="6" s="1"/>
  <c r="AE296" i="6"/>
  <c r="AE297" i="6" s="1"/>
  <c r="AE259" i="6"/>
  <c r="AE351" i="6"/>
  <c r="AE352" i="6" s="1"/>
  <c r="AE275" i="6"/>
  <c r="AE320" i="6"/>
  <c r="AE301" i="6"/>
  <c r="AE302" i="6" s="1"/>
  <c r="AE202" i="6"/>
  <c r="AE80" i="6"/>
  <c r="AE140" i="6"/>
  <c r="AE86" i="6"/>
  <c r="AE93" i="6"/>
  <c r="AE40" i="6"/>
  <c r="AF28" i="6"/>
  <c r="AE126" i="6"/>
  <c r="AE100" i="6"/>
  <c r="AE106" i="6"/>
  <c r="AE188" i="6"/>
  <c r="AE66" i="6"/>
  <c r="AE11" i="6"/>
  <c r="AE12" i="6" s="1"/>
  <c r="AE73" i="6"/>
  <c r="AE53" i="6"/>
  <c r="AE46" i="6"/>
  <c r="AE23" i="6"/>
  <c r="AE24" i="6" s="1"/>
  <c r="AE60" i="6"/>
  <c r="AE4" i="6"/>
  <c r="AE33" i="6"/>
  <c r="AE35" i="10"/>
  <c r="AD9" i="37"/>
  <c r="AD17" i="12"/>
  <c r="AD42" i="10"/>
  <c r="AD22" i="10"/>
  <c r="N10" i="37"/>
  <c r="I26" i="49" s="1"/>
  <c r="N24" i="12"/>
  <c r="N26" i="12" s="1"/>
  <c r="O20" i="10"/>
  <c r="AC18" i="37"/>
  <c r="X30" i="49" s="1"/>
  <c r="AC84" i="12"/>
  <c r="AC31" i="13"/>
  <c r="AC23" i="13"/>
  <c r="AC62" i="12"/>
  <c r="AB203" i="6"/>
  <c r="AB224" i="6"/>
  <c r="AC2" i="4"/>
  <c r="AC2" i="40"/>
  <c r="AC2" i="37"/>
  <c r="AC2" i="34"/>
  <c r="AC2" i="31"/>
  <c r="AC2" i="22"/>
  <c r="AC2" i="28"/>
  <c r="AC60" i="20"/>
  <c r="AC2" i="21"/>
  <c r="AC2" i="20"/>
  <c r="AC2" i="19"/>
  <c r="AC2" i="18"/>
  <c r="AC2" i="17"/>
  <c r="AC2" i="14"/>
  <c r="AC2" i="16"/>
  <c r="AC2" i="15"/>
  <c r="AC2" i="13"/>
  <c r="AC2" i="11"/>
  <c r="AC2" i="12"/>
  <c r="AC2" i="10"/>
  <c r="AC2" i="9"/>
  <c r="AC319" i="6"/>
  <c r="AC321" i="6" s="1"/>
  <c r="AC2" i="8"/>
  <c r="AC313" i="6"/>
  <c r="AC241" i="6"/>
  <c r="AC243" i="6" s="1"/>
  <c r="AC20" i="16" s="1"/>
  <c r="AC182" i="6"/>
  <c r="AC184" i="6" s="1"/>
  <c r="AC189" i="6" s="1"/>
  <c r="AC190" i="6" s="1"/>
  <c r="AC194" i="6" s="1"/>
  <c r="AC2" i="7"/>
  <c r="AC282" i="6"/>
  <c r="AC284" i="6" s="1"/>
  <c r="AC276" i="6" s="1"/>
  <c r="AC277" i="6" s="1"/>
  <c r="AC270" i="6" s="1"/>
  <c r="AC249" i="6"/>
  <c r="AC251" i="6" s="1"/>
  <c r="AC21" i="18" s="1"/>
  <c r="AC233" i="6"/>
  <c r="AC235" i="6" s="1"/>
  <c r="AC21" i="17" s="1"/>
  <c r="AC147" i="6"/>
  <c r="AC72" i="6"/>
  <c r="AC176" i="6"/>
  <c r="AC177" i="6" s="1"/>
  <c r="AC120" i="6"/>
  <c r="AC122" i="6" s="1"/>
  <c r="AC127" i="6" s="1"/>
  <c r="AC128" i="6" s="1"/>
  <c r="AC132" i="6" s="1"/>
  <c r="AC114" i="6"/>
  <c r="AC115" i="6" s="1"/>
  <c r="AC92" i="6"/>
  <c r="AC209" i="6"/>
  <c r="AC32" i="6"/>
  <c r="AC52" i="6"/>
  <c r="AC2" i="6"/>
  <c r="M25" i="34"/>
  <c r="G64" i="51" s="1"/>
  <c r="AD41" i="6"/>
  <c r="AD47" i="6"/>
  <c r="AD34" i="6"/>
  <c r="M13" i="17"/>
  <c r="M15" i="17" s="1"/>
  <c r="N16" i="37"/>
  <c r="N71" i="12"/>
  <c r="N73" i="12" s="1"/>
  <c r="N63" i="12"/>
  <c r="N65" i="12" s="1"/>
  <c r="AB54" i="6"/>
  <c r="AB67" i="6"/>
  <c r="AB61" i="6"/>
  <c r="AC61" i="20"/>
  <c r="AC67" i="20" s="1"/>
  <c r="M17" i="28"/>
  <c r="AD94" i="6"/>
  <c r="AD101" i="6"/>
  <c r="AD107" i="6"/>
  <c r="N16" i="19"/>
  <c r="N17" i="19" s="1"/>
  <c r="N20" i="15"/>
  <c r="N42" i="15"/>
  <c r="N25" i="11"/>
  <c r="AA19" i="37"/>
  <c r="AB83" i="12"/>
  <c r="AB85" i="12" s="1"/>
  <c r="M33" i="16"/>
  <c r="M34" i="16" s="1"/>
  <c r="M47" i="16"/>
  <c r="R25" i="12"/>
  <c r="R50" i="12"/>
  <c r="M23" i="34"/>
  <c r="G62" i="51" s="1"/>
  <c r="AD314" i="6"/>
  <c r="AB26" i="31"/>
  <c r="V41" i="51" s="1"/>
  <c r="AC11" i="21"/>
  <c r="AC13" i="21" s="1"/>
  <c r="AB29" i="9"/>
  <c r="R8" i="31"/>
  <c r="L23" i="51" s="1"/>
  <c r="S20" i="13"/>
  <c r="Q14" i="13"/>
  <c r="Q13" i="28" s="1"/>
  <c r="Q30" i="13"/>
  <c r="Q33" i="13" s="1"/>
  <c r="O28" i="16"/>
  <c r="O14" i="16"/>
  <c r="AD3" i="4"/>
  <c r="AD3" i="40"/>
  <c r="AD3" i="37"/>
  <c r="AD3" i="34"/>
  <c r="AD3" i="31"/>
  <c r="AD3" i="28"/>
  <c r="AD3" i="22"/>
  <c r="AD3" i="21"/>
  <c r="AD3" i="19"/>
  <c r="AD3" i="20"/>
  <c r="AD3" i="17"/>
  <c r="AD3" i="18"/>
  <c r="AD3" i="16"/>
  <c r="AD3" i="15"/>
  <c r="AD3" i="14"/>
  <c r="AD3" i="13"/>
  <c r="AD3" i="12"/>
  <c r="AD3" i="10"/>
  <c r="AD3" i="9"/>
  <c r="AD3" i="11"/>
  <c r="AD3" i="8"/>
  <c r="AD3" i="7"/>
  <c r="AD79" i="6"/>
  <c r="AD99" i="6"/>
  <c r="AD39" i="6"/>
  <c r="AD59" i="6"/>
  <c r="AD3" i="6"/>
  <c r="AD74" i="6"/>
  <c r="AD81" i="6"/>
  <c r="AD87" i="6"/>
  <c r="AD14" i="37"/>
  <c r="AD76" i="12"/>
  <c r="AD77" i="12" s="1"/>
  <c r="AD72" i="12"/>
  <c r="AD64" i="12"/>
  <c r="AB8" i="37"/>
  <c r="AB16" i="12"/>
  <c r="AB41" i="10"/>
  <c r="AB43" i="10" s="1"/>
  <c r="AB25" i="14" s="1"/>
  <c r="AB26" i="14" s="1"/>
  <c r="AB34" i="10"/>
  <c r="AB21" i="10"/>
  <c r="K9" i="51" l="1"/>
  <c r="L20" i="49"/>
  <c r="G13" i="51"/>
  <c r="H22" i="49"/>
  <c r="U5" i="51"/>
  <c r="V18" i="49"/>
  <c r="R29" i="13"/>
  <c r="Q34" i="13"/>
  <c r="Q9" i="31" s="1"/>
  <c r="K24" i="51" s="1"/>
  <c r="AC224" i="6"/>
  <c r="AC203" i="6"/>
  <c r="AC8" i="37"/>
  <c r="AC16" i="12"/>
  <c r="AC21" i="10"/>
  <c r="AC41" i="10"/>
  <c r="AC43" i="10" s="1"/>
  <c r="AC25" i="14" s="1"/>
  <c r="AC26" i="14" s="1"/>
  <c r="AC34" i="10"/>
  <c r="M24" i="34"/>
  <c r="G63" i="51" s="1"/>
  <c r="AB19" i="37"/>
  <c r="AC83" i="12"/>
  <c r="AC85" i="12" s="1"/>
  <c r="AE3" i="4"/>
  <c r="AE3" i="40"/>
  <c r="AE3" i="37"/>
  <c r="AE3" i="34"/>
  <c r="AE3" i="31"/>
  <c r="AE3" i="28"/>
  <c r="AE3" i="21"/>
  <c r="AE3" i="22"/>
  <c r="AE3" i="20"/>
  <c r="AE3" i="18"/>
  <c r="AE3" i="19"/>
  <c r="AE3" i="17"/>
  <c r="AE3" i="16"/>
  <c r="AE3" i="15"/>
  <c r="AE3" i="14"/>
  <c r="AE3" i="13"/>
  <c r="AE3" i="12"/>
  <c r="AE3" i="8"/>
  <c r="AE3" i="11"/>
  <c r="AE3" i="10"/>
  <c r="AE3" i="9"/>
  <c r="AE3" i="7"/>
  <c r="AE79" i="6"/>
  <c r="AE99" i="6"/>
  <c r="AE59" i="6"/>
  <c r="AE3" i="6"/>
  <c r="AE39" i="6"/>
  <c r="O20" i="34"/>
  <c r="I59" i="51" s="1"/>
  <c r="AE47" i="6"/>
  <c r="AE41" i="6"/>
  <c r="AE34" i="6"/>
  <c r="N15" i="37"/>
  <c r="I28" i="49" s="1"/>
  <c r="O60" i="12"/>
  <c r="AC61" i="6"/>
  <c r="AC54" i="6"/>
  <c r="AC67" i="6"/>
  <c r="AF4" i="40"/>
  <c r="AF4" i="4"/>
  <c r="AF4" i="34"/>
  <c r="AF4" i="37"/>
  <c r="AF4" i="28"/>
  <c r="AF4" i="31"/>
  <c r="AF4" i="22"/>
  <c r="AF10" i="21"/>
  <c r="AF32" i="20"/>
  <c r="AF74" i="20"/>
  <c r="AF4" i="21"/>
  <c r="AF4" i="20"/>
  <c r="AF28" i="19"/>
  <c r="AF4" i="19"/>
  <c r="AF10" i="18"/>
  <c r="AF4" i="18"/>
  <c r="AF4" i="17"/>
  <c r="AF40" i="15"/>
  <c r="AF10" i="17"/>
  <c r="AF27" i="15"/>
  <c r="AF4" i="15"/>
  <c r="AF4" i="16"/>
  <c r="AF10" i="16"/>
  <c r="AF4" i="14"/>
  <c r="AF19" i="13"/>
  <c r="AF82" i="12"/>
  <c r="AF4" i="13"/>
  <c r="AF46" i="12"/>
  <c r="AF28" i="13"/>
  <c r="AF69" i="12"/>
  <c r="AF59" i="12"/>
  <c r="AF23" i="11"/>
  <c r="AF18" i="12"/>
  <c r="AF12" i="10"/>
  <c r="AF4" i="10"/>
  <c r="AF4" i="11"/>
  <c r="AF4" i="12"/>
  <c r="AF19" i="10"/>
  <c r="AF346" i="6"/>
  <c r="AF347" i="6" s="1"/>
  <c r="AF312" i="6"/>
  <c r="AF4" i="8"/>
  <c r="AF4" i="7"/>
  <c r="AF4" i="9"/>
  <c r="AF296" i="6"/>
  <c r="AF297" i="6" s="1"/>
  <c r="AF259" i="6"/>
  <c r="AF10" i="9"/>
  <c r="AF351" i="6"/>
  <c r="AF352" i="6" s="1"/>
  <c r="AF275" i="6"/>
  <c r="AF331" i="6"/>
  <c r="AF332" i="6" s="1"/>
  <c r="AF320" i="6"/>
  <c r="AF301" i="6"/>
  <c r="AF302" i="6" s="1"/>
  <c r="AF35" i="9"/>
  <c r="AF336" i="6"/>
  <c r="AF337" i="6" s="1"/>
  <c r="AF202" i="6"/>
  <c r="AF80" i="6"/>
  <c r="AF140" i="6"/>
  <c r="AF86" i="6"/>
  <c r="AF93" i="6"/>
  <c r="AF126" i="6"/>
  <c r="AF100" i="6"/>
  <c r="AF46" i="6"/>
  <c r="AF106" i="6"/>
  <c r="AF188" i="6"/>
  <c r="AF73" i="6"/>
  <c r="AF53" i="6"/>
  <c r="AG28" i="6"/>
  <c r="AF66" i="6"/>
  <c r="AF40" i="6"/>
  <c r="AF23" i="6"/>
  <c r="AF24" i="6" s="1"/>
  <c r="AF60" i="6"/>
  <c r="AF4" i="6"/>
  <c r="AF33" i="6"/>
  <c r="AF11" i="6"/>
  <c r="AF12" i="6" s="1"/>
  <c r="AF35" i="10"/>
  <c r="AE314" i="6"/>
  <c r="AD18" i="37"/>
  <c r="Y30" i="49" s="1"/>
  <c r="AD23" i="13"/>
  <c r="AD31" i="13"/>
  <c r="AD84" i="12"/>
  <c r="AD62" i="12"/>
  <c r="AC26" i="31"/>
  <c r="W41" i="51" s="1"/>
  <c r="AD11" i="21"/>
  <c r="AD13" i="21" s="1"/>
  <c r="AC29" i="9"/>
  <c r="N17" i="37"/>
  <c r="I29" i="49" s="1"/>
  <c r="O70" i="12"/>
  <c r="N17" i="11"/>
  <c r="N18" i="11" s="1"/>
  <c r="O28" i="10"/>
  <c r="AE9" i="37"/>
  <c r="AE17" i="12"/>
  <c r="AE42" i="10"/>
  <c r="AE22" i="10"/>
  <c r="AE81" i="6"/>
  <c r="AE87" i="6"/>
  <c r="AE74" i="6"/>
  <c r="AD40" i="12"/>
  <c r="AD32" i="12"/>
  <c r="AD13" i="10"/>
  <c r="AD14" i="10" s="1"/>
  <c r="M13" i="16"/>
  <c r="M15" i="16" s="1"/>
  <c r="N31" i="12"/>
  <c r="AE59" i="20"/>
  <c r="AE53" i="20"/>
  <c r="AE54" i="20" s="1"/>
  <c r="AE58" i="20" s="1"/>
  <c r="AE242" i="6"/>
  <c r="AE290" i="6"/>
  <c r="AE291" i="6" s="1"/>
  <c r="AE283" i="6"/>
  <c r="AE250" i="6"/>
  <c r="AE234" i="6"/>
  <c r="AE121" i="6"/>
  <c r="AE183" i="6"/>
  <c r="AE18" i="6"/>
  <c r="AE19" i="6" s="1"/>
  <c r="AE94" i="6"/>
  <c r="AE101" i="6"/>
  <c r="AE107" i="6"/>
  <c r="R12" i="37"/>
  <c r="M27" i="49" s="1"/>
  <c r="S47" i="12"/>
  <c r="R12" i="13"/>
  <c r="R13" i="13" s="1"/>
  <c r="S11" i="13"/>
  <c r="S24" i="13"/>
  <c r="AC141" i="6"/>
  <c r="AC162" i="6"/>
  <c r="M18" i="31"/>
  <c r="N11" i="18"/>
  <c r="AB34" i="15"/>
  <c r="AB12" i="14"/>
  <c r="AB49" i="15"/>
  <c r="AB27" i="14"/>
  <c r="AB9" i="28" s="1"/>
  <c r="N21" i="19"/>
  <c r="N43" i="15"/>
  <c r="N45" i="15" s="1"/>
  <c r="N21" i="15"/>
  <c r="P22" i="15" s="1"/>
  <c r="M16" i="31"/>
  <c r="N11" i="17"/>
  <c r="AE14" i="37"/>
  <c r="AE72" i="12"/>
  <c r="AE76" i="12"/>
  <c r="AE77" i="12" s="1"/>
  <c r="AE64" i="12"/>
  <c r="AD2" i="40"/>
  <c r="AD2" i="4"/>
  <c r="AD2" i="37"/>
  <c r="AD2" i="34"/>
  <c r="AD2" i="31"/>
  <c r="AD2" i="28"/>
  <c r="AD60" i="20"/>
  <c r="AD61" i="20" s="1"/>
  <c r="AD67" i="20" s="1"/>
  <c r="AD2" i="21"/>
  <c r="AD2" i="22"/>
  <c r="AD2" i="20"/>
  <c r="AD2" i="19"/>
  <c r="AD2" i="16"/>
  <c r="AD2" i="17"/>
  <c r="AD2" i="18"/>
  <c r="AD2" i="15"/>
  <c r="AD2" i="14"/>
  <c r="AD2" i="13"/>
  <c r="AD2" i="12"/>
  <c r="AD2" i="11"/>
  <c r="AD2" i="10"/>
  <c r="AD2" i="9"/>
  <c r="AD2" i="7"/>
  <c r="AD2" i="8"/>
  <c r="AD233" i="6"/>
  <c r="AD235" i="6" s="1"/>
  <c r="AD21" i="17" s="1"/>
  <c r="AD319" i="6"/>
  <c r="AD321" i="6" s="1"/>
  <c r="AD313" i="6"/>
  <c r="AD241" i="6"/>
  <c r="AD243" i="6" s="1"/>
  <c r="AD20" i="16" s="1"/>
  <c r="AD176" i="6"/>
  <c r="AD177" i="6" s="1"/>
  <c r="AD282" i="6"/>
  <c r="AD284" i="6" s="1"/>
  <c r="AD276" i="6" s="1"/>
  <c r="AD277" i="6" s="1"/>
  <c r="AD270" i="6" s="1"/>
  <c r="AD249" i="6"/>
  <c r="AD251" i="6" s="1"/>
  <c r="AD21" i="18" s="1"/>
  <c r="AD182" i="6"/>
  <c r="AD184" i="6" s="1"/>
  <c r="AD189" i="6" s="1"/>
  <c r="AD190" i="6" s="1"/>
  <c r="AD194" i="6" s="1"/>
  <c r="AD147" i="6"/>
  <c r="AD120" i="6"/>
  <c r="AD122" i="6" s="1"/>
  <c r="AD127" i="6" s="1"/>
  <c r="AD128" i="6" s="1"/>
  <c r="AD132" i="6" s="1"/>
  <c r="AD114" i="6"/>
  <c r="AD115" i="6" s="1"/>
  <c r="AD92" i="6"/>
  <c r="AD209" i="6"/>
  <c r="AD52" i="6"/>
  <c r="AD32" i="6"/>
  <c r="AD72" i="6"/>
  <c r="AD2" i="6"/>
  <c r="G31" i="51" l="1"/>
  <c r="H9" i="49"/>
  <c r="G33" i="51"/>
  <c r="H10" i="49"/>
  <c r="V5" i="51"/>
  <c r="W18" i="49"/>
  <c r="N10" i="31"/>
  <c r="H25" i="51" s="1"/>
  <c r="O41" i="15"/>
  <c r="AF9" i="37"/>
  <c r="AF17" i="12"/>
  <c r="AF22" i="10"/>
  <c r="AF42" i="10"/>
  <c r="AF47" i="6"/>
  <c r="AF41" i="6"/>
  <c r="AF34" i="6"/>
  <c r="N27" i="18"/>
  <c r="N28" i="18" s="1"/>
  <c r="N40" i="18"/>
  <c r="N41" i="18" s="1"/>
  <c r="AG4" i="4"/>
  <c r="AG4" i="40"/>
  <c r="AG4" i="37"/>
  <c r="AG4" i="34"/>
  <c r="AG4" i="31"/>
  <c r="AG4" i="22"/>
  <c r="AG4" i="28"/>
  <c r="AG10" i="21"/>
  <c r="AG74" i="20"/>
  <c r="AG4" i="21"/>
  <c r="AG4" i="20"/>
  <c r="AG32" i="20"/>
  <c r="AG4" i="19"/>
  <c r="AG28" i="19"/>
  <c r="AG4" i="17"/>
  <c r="AG4" i="18"/>
  <c r="AG10" i="18"/>
  <c r="AG10" i="17"/>
  <c r="AG4" i="15"/>
  <c r="AG4" i="16"/>
  <c r="AG19" i="13"/>
  <c r="AG4" i="13"/>
  <c r="AG10" i="16"/>
  <c r="AG27" i="15"/>
  <c r="AG4" i="14"/>
  <c r="AG40" i="15"/>
  <c r="AG28" i="13"/>
  <c r="AG69" i="12"/>
  <c r="AG59" i="12"/>
  <c r="AG82" i="12"/>
  <c r="AG4" i="12"/>
  <c r="AG46" i="12"/>
  <c r="AG4" i="11"/>
  <c r="AG18" i="12"/>
  <c r="AG23" i="11"/>
  <c r="AG12" i="10"/>
  <c r="AG35" i="9"/>
  <c r="AG4" i="10"/>
  <c r="AG10" i="9"/>
  <c r="AG19" i="10"/>
  <c r="AG312" i="6"/>
  <c r="AG4" i="8"/>
  <c r="AG4" i="7"/>
  <c r="AG4" i="9"/>
  <c r="AG296" i="6"/>
  <c r="AG297" i="6" s="1"/>
  <c r="AG346" i="6"/>
  <c r="AG347" i="6" s="1"/>
  <c r="AG259" i="6"/>
  <c r="AG351" i="6"/>
  <c r="AG352" i="6" s="1"/>
  <c r="AG275" i="6"/>
  <c r="AG331" i="6"/>
  <c r="AG332" i="6" s="1"/>
  <c r="AG320" i="6"/>
  <c r="AG301" i="6"/>
  <c r="AG302" i="6" s="1"/>
  <c r="AG336" i="6"/>
  <c r="AG337" i="6" s="1"/>
  <c r="AG202" i="6"/>
  <c r="AG140" i="6"/>
  <c r="AG86" i="6"/>
  <c r="AG93" i="6"/>
  <c r="AG126" i="6"/>
  <c r="AG100" i="6"/>
  <c r="AG106" i="6"/>
  <c r="AG53" i="6"/>
  <c r="AG23" i="6"/>
  <c r="AG24" i="6" s="1"/>
  <c r="AG188" i="6"/>
  <c r="AG80" i="6"/>
  <c r="AG4" i="6"/>
  <c r="AG73" i="6"/>
  <c r="AH28" i="6"/>
  <c r="AG66" i="6"/>
  <c r="AG46" i="6"/>
  <c r="AG40" i="6"/>
  <c r="AG60" i="6"/>
  <c r="AG33" i="6"/>
  <c r="AG11" i="6"/>
  <c r="AG12" i="6" s="1"/>
  <c r="AG35" i="10"/>
  <c r="P8" i="34"/>
  <c r="J47" i="51" s="1"/>
  <c r="P44" i="15"/>
  <c r="AD8" i="37"/>
  <c r="AD16" i="12"/>
  <c r="AD21" i="10"/>
  <c r="AD41" i="10"/>
  <c r="AD43" i="10" s="1"/>
  <c r="AD25" i="14" s="1"/>
  <c r="AD26" i="14" s="1"/>
  <c r="AD34" i="10"/>
  <c r="S8" i="31"/>
  <c r="M23" i="51" s="1"/>
  <c r="T20" i="13"/>
  <c r="AF53" i="20"/>
  <c r="AF54" i="20" s="1"/>
  <c r="AF58" i="20" s="1"/>
  <c r="AF59" i="20"/>
  <c r="AF242" i="6"/>
  <c r="AF290" i="6"/>
  <c r="AF291" i="6" s="1"/>
  <c r="AF283" i="6"/>
  <c r="AF250" i="6"/>
  <c r="AF234" i="6"/>
  <c r="AF121" i="6"/>
  <c r="AF183" i="6"/>
  <c r="AF18" i="6"/>
  <c r="AF19" i="6" s="1"/>
  <c r="AF14" i="37"/>
  <c r="AF64" i="12"/>
  <c r="AF72" i="12"/>
  <c r="AF76" i="12"/>
  <c r="AF77" i="12" s="1"/>
  <c r="N40" i="17"/>
  <c r="N41" i="17" s="1"/>
  <c r="AF314" i="6"/>
  <c r="R30" i="13"/>
  <c r="R33" i="13" s="1"/>
  <c r="R14" i="13"/>
  <c r="R13" i="28" s="1"/>
  <c r="AD224" i="6"/>
  <c r="AD203" i="6"/>
  <c r="S25" i="12"/>
  <c r="S50" i="12"/>
  <c r="AE40" i="12"/>
  <c r="AE32" i="12"/>
  <c r="AE13" i="10"/>
  <c r="AE14" i="10" s="1"/>
  <c r="AF94" i="6"/>
  <c r="AF101" i="6"/>
  <c r="AF107" i="6"/>
  <c r="O27" i="10"/>
  <c r="O29" i="10" s="1"/>
  <c r="AD141" i="6"/>
  <c r="AD162" i="6"/>
  <c r="M17" i="31"/>
  <c r="N11" i="16"/>
  <c r="AD26" i="31"/>
  <c r="X41" i="51" s="1"/>
  <c r="AE11" i="21"/>
  <c r="AE13" i="21" s="1"/>
  <c r="AD29" i="9"/>
  <c r="AC19" i="37"/>
  <c r="AD83" i="12"/>
  <c r="AD85" i="12" s="1"/>
  <c r="AC12" i="14"/>
  <c r="AC49" i="15"/>
  <c r="AC27" i="14"/>
  <c r="AC9" i="28" s="1"/>
  <c r="AC34" i="15"/>
  <c r="AD67" i="6"/>
  <c r="AD54" i="6"/>
  <c r="AD61" i="6"/>
  <c r="AE18" i="37"/>
  <c r="Z30" i="49" s="1"/>
  <c r="AE31" i="13"/>
  <c r="AE84" i="12"/>
  <c r="AE23" i="13"/>
  <c r="AE62" i="12"/>
  <c r="AE2" i="40"/>
  <c r="AE2" i="4"/>
  <c r="AE2" i="37"/>
  <c r="AE2" i="34"/>
  <c r="AE2" i="31"/>
  <c r="AE2" i="28"/>
  <c r="AE60" i="20"/>
  <c r="AE2" i="21"/>
  <c r="AE2" i="22"/>
  <c r="AE2" i="19"/>
  <c r="AE2" i="20"/>
  <c r="AE2" i="17"/>
  <c r="AE2" i="18"/>
  <c r="AE2" i="14"/>
  <c r="AE2" i="15"/>
  <c r="AE2" i="16"/>
  <c r="AE2" i="13"/>
  <c r="AE2" i="12"/>
  <c r="AE2" i="11"/>
  <c r="AE2" i="10"/>
  <c r="AE2" i="8"/>
  <c r="AE2" i="9"/>
  <c r="AE319" i="6"/>
  <c r="AE321" i="6" s="1"/>
  <c r="AE313" i="6"/>
  <c r="AE241" i="6"/>
  <c r="AE243" i="6" s="1"/>
  <c r="AE20" i="16" s="1"/>
  <c r="AE282" i="6"/>
  <c r="AE284" i="6" s="1"/>
  <c r="AE276" i="6" s="1"/>
  <c r="AE277" i="6" s="1"/>
  <c r="AE270" i="6" s="1"/>
  <c r="AE2" i="7"/>
  <c r="AE249" i="6"/>
  <c r="AE251" i="6" s="1"/>
  <c r="AE21" i="18" s="1"/>
  <c r="AE233" i="6"/>
  <c r="AE235" i="6" s="1"/>
  <c r="AE21" i="17" s="1"/>
  <c r="AE209" i="6"/>
  <c r="AE182" i="6"/>
  <c r="AE184" i="6" s="1"/>
  <c r="AE189" i="6" s="1"/>
  <c r="AE190" i="6" s="1"/>
  <c r="AE194" i="6" s="1"/>
  <c r="AE147" i="6"/>
  <c r="AE176" i="6"/>
  <c r="AE177" i="6" s="1"/>
  <c r="AE120" i="6"/>
  <c r="AE122" i="6" s="1"/>
  <c r="AE127" i="6" s="1"/>
  <c r="AE128" i="6" s="1"/>
  <c r="AE132" i="6" s="1"/>
  <c r="AE32" i="6"/>
  <c r="AE114" i="6"/>
  <c r="AE115" i="6" s="1"/>
  <c r="AE92" i="6"/>
  <c r="AE72" i="6"/>
  <c r="AE52" i="6"/>
  <c r="AE2" i="6"/>
  <c r="AE61" i="20"/>
  <c r="AE67" i="20" s="1"/>
  <c r="N8" i="28"/>
  <c r="N19" i="16"/>
  <c r="N21" i="16" s="1"/>
  <c r="N26" i="11"/>
  <c r="N27" i="11" s="1"/>
  <c r="AF3" i="40"/>
  <c r="AF3" i="4"/>
  <c r="AF3" i="37"/>
  <c r="AF3" i="34"/>
  <c r="AF3" i="31"/>
  <c r="AF3" i="28"/>
  <c r="AF3" i="21"/>
  <c r="AF3" i="22"/>
  <c r="AF3" i="20"/>
  <c r="AF3" i="18"/>
  <c r="AF3" i="19"/>
  <c r="AF3" i="17"/>
  <c r="AF3" i="14"/>
  <c r="AF3" i="16"/>
  <c r="AF3" i="15"/>
  <c r="AF3" i="13"/>
  <c r="AF3" i="12"/>
  <c r="AF3" i="11"/>
  <c r="AF3" i="10"/>
  <c r="AF3" i="8"/>
  <c r="AF3" i="9"/>
  <c r="AF3" i="7"/>
  <c r="AF79" i="6"/>
  <c r="AF39" i="6"/>
  <c r="AF99" i="6"/>
  <c r="AF59" i="6"/>
  <c r="AF3" i="6"/>
  <c r="AF87" i="6"/>
  <c r="AF74" i="6"/>
  <c r="AF81" i="6"/>
  <c r="H4" i="51" l="1"/>
  <c r="I12" i="49"/>
  <c r="L9" i="51"/>
  <c r="M20" i="49"/>
  <c r="G32" i="51"/>
  <c r="H8" i="49"/>
  <c r="W5" i="51"/>
  <c r="X18" i="49"/>
  <c r="S29" i="13"/>
  <c r="R34" i="13"/>
  <c r="O53" i="12"/>
  <c r="O54" i="12" s="1"/>
  <c r="O11" i="11"/>
  <c r="O12" i="11" s="1"/>
  <c r="O23" i="10"/>
  <c r="O24" i="10" s="1"/>
  <c r="AE203" i="6"/>
  <c r="AE224" i="6"/>
  <c r="AD19" i="37"/>
  <c r="AE83" i="12"/>
  <c r="AE85" i="12" s="1"/>
  <c r="AE8" i="37"/>
  <c r="AE16" i="12"/>
  <c r="AE34" i="10"/>
  <c r="AE21" i="10"/>
  <c r="AE41" i="10"/>
  <c r="AE43" i="10" s="1"/>
  <c r="AE25" i="14" s="1"/>
  <c r="AE26" i="14" s="1"/>
  <c r="AG53" i="20"/>
  <c r="AG54" i="20" s="1"/>
  <c r="AG58" i="20" s="1"/>
  <c r="AG59" i="20"/>
  <c r="AG290" i="6"/>
  <c r="AG291" i="6" s="1"/>
  <c r="AG283" i="6"/>
  <c r="AG250" i="6"/>
  <c r="AG234" i="6"/>
  <c r="AG242" i="6"/>
  <c r="AG183" i="6"/>
  <c r="AG121" i="6"/>
  <c r="AG18" i="6"/>
  <c r="AG19" i="6" s="1"/>
  <c r="AF40" i="12"/>
  <c r="AF32" i="12"/>
  <c r="AF13" i="10"/>
  <c r="AF14" i="10" s="1"/>
  <c r="AD49" i="15"/>
  <c r="AD34" i="15"/>
  <c r="AD12" i="14"/>
  <c r="AD27" i="14"/>
  <c r="AD9" i="28" s="1"/>
  <c r="AG94" i="6"/>
  <c r="AG101" i="6"/>
  <c r="AG107" i="6"/>
  <c r="N46" i="18"/>
  <c r="N47" i="18" s="1"/>
  <c r="N42" i="18"/>
  <c r="N33" i="18"/>
  <c r="AG14" i="37"/>
  <c r="AG76" i="12"/>
  <c r="AG77" i="12" s="1"/>
  <c r="AG64" i="12"/>
  <c r="AG72" i="12"/>
  <c r="AE67" i="6"/>
  <c r="AE61" i="6"/>
  <c r="AE54" i="6"/>
  <c r="AE26" i="31"/>
  <c r="Y41" i="51" s="1"/>
  <c r="AF11" i="21"/>
  <c r="AF13" i="21" s="1"/>
  <c r="AE29" i="9"/>
  <c r="N29" i="18"/>
  <c r="N14" i="18"/>
  <c r="AF18" i="37"/>
  <c r="AA30" i="49" s="1"/>
  <c r="AF23" i="13"/>
  <c r="AF31" i="13"/>
  <c r="AF84" i="12"/>
  <c r="AF62" i="12"/>
  <c r="AF2" i="40"/>
  <c r="AF2" i="4"/>
  <c r="AF2" i="37"/>
  <c r="AF2" i="34"/>
  <c r="AF2" i="31"/>
  <c r="AF2" i="28"/>
  <c r="AF2" i="22"/>
  <c r="AF2" i="21"/>
  <c r="AF60" i="20"/>
  <c r="AF2" i="19"/>
  <c r="AF2" i="20"/>
  <c r="AF2" i="18"/>
  <c r="AF2" i="17"/>
  <c r="AF2" i="15"/>
  <c r="AF2" i="16"/>
  <c r="AF2" i="14"/>
  <c r="AF2" i="13"/>
  <c r="AF2" i="12"/>
  <c r="AF2" i="10"/>
  <c r="AF2" i="11"/>
  <c r="AF2" i="8"/>
  <c r="AF313" i="6"/>
  <c r="AG314" i="6" s="1"/>
  <c r="AF241" i="6"/>
  <c r="AF243" i="6" s="1"/>
  <c r="AF20" i="16" s="1"/>
  <c r="AF282" i="6"/>
  <c r="AF284" i="6" s="1"/>
  <c r="AF276" i="6" s="1"/>
  <c r="AF277" i="6" s="1"/>
  <c r="AF270" i="6" s="1"/>
  <c r="AF2" i="7"/>
  <c r="AF249" i="6"/>
  <c r="AF251" i="6" s="1"/>
  <c r="AF21" i="18" s="1"/>
  <c r="AF2" i="9"/>
  <c r="AF319" i="6"/>
  <c r="AF321" i="6" s="1"/>
  <c r="AF233" i="6"/>
  <c r="AF235" i="6" s="1"/>
  <c r="AF21" i="17" s="1"/>
  <c r="AF176" i="6"/>
  <c r="AF177" i="6" s="1"/>
  <c r="AF120" i="6"/>
  <c r="AF122" i="6" s="1"/>
  <c r="AF127" i="6" s="1"/>
  <c r="AF128" i="6" s="1"/>
  <c r="AF132" i="6" s="1"/>
  <c r="AF114" i="6"/>
  <c r="AF115" i="6" s="1"/>
  <c r="AF92" i="6"/>
  <c r="AF209" i="6"/>
  <c r="AF182" i="6"/>
  <c r="AF184" i="6" s="1"/>
  <c r="AF189" i="6" s="1"/>
  <c r="AF190" i="6" s="1"/>
  <c r="AF194" i="6" s="1"/>
  <c r="AF147" i="6"/>
  <c r="AF32" i="6"/>
  <c r="AF72" i="6"/>
  <c r="AF52" i="6"/>
  <c r="AF2" i="6"/>
  <c r="AG3" i="4"/>
  <c r="AG3" i="40"/>
  <c r="AG3" i="37"/>
  <c r="AG3" i="34"/>
  <c r="AG3" i="31"/>
  <c r="AG3" i="22"/>
  <c r="AG3" i="28"/>
  <c r="AG3" i="21"/>
  <c r="AG3" i="20"/>
  <c r="AG3" i="19"/>
  <c r="AG3" i="18"/>
  <c r="AG3" i="17"/>
  <c r="AG3" i="14"/>
  <c r="AG3" i="16"/>
  <c r="AG3" i="15"/>
  <c r="AG3" i="13"/>
  <c r="AG3" i="11"/>
  <c r="AG3" i="12"/>
  <c r="AG3" i="10"/>
  <c r="AG3" i="9"/>
  <c r="AG3" i="7"/>
  <c r="AG3" i="8"/>
  <c r="AG79" i="6"/>
  <c r="AG99" i="6"/>
  <c r="AG3" i="6"/>
  <c r="AG39" i="6"/>
  <c r="AG59" i="6"/>
  <c r="N42" i="17"/>
  <c r="N33" i="17"/>
  <c r="N46" i="17"/>
  <c r="N47" i="17" s="1"/>
  <c r="N14" i="31"/>
  <c r="H29" i="51" s="1"/>
  <c r="O24" i="11"/>
  <c r="AF61" i="20"/>
  <c r="AF67" i="20" s="1"/>
  <c r="AG74" i="6"/>
  <c r="AG81" i="6"/>
  <c r="AG87" i="6"/>
  <c r="N19" i="34"/>
  <c r="H58" i="51" s="1"/>
  <c r="N26" i="16"/>
  <c r="P27" i="16" s="1"/>
  <c r="N12" i="16"/>
  <c r="AE141" i="6"/>
  <c r="AE162" i="6"/>
  <c r="N39" i="16"/>
  <c r="N40" i="16" s="1"/>
  <c r="S12" i="37"/>
  <c r="N27" i="49" s="1"/>
  <c r="T47" i="12"/>
  <c r="S12" i="13"/>
  <c r="S13" i="13" s="1"/>
  <c r="T11" i="13"/>
  <c r="T24" i="13"/>
  <c r="AG34" i="6"/>
  <c r="AG47" i="6"/>
  <c r="AG41" i="6"/>
  <c r="AG9" i="37"/>
  <c r="AG17" i="12"/>
  <c r="AG22" i="10"/>
  <c r="AG42" i="10"/>
  <c r="AH4" i="4"/>
  <c r="AH4" i="40"/>
  <c r="AH4" i="37"/>
  <c r="AH4" i="34"/>
  <c r="AH4" i="31"/>
  <c r="AH4" i="22"/>
  <c r="AH4" i="21"/>
  <c r="AH4" i="28"/>
  <c r="AH10" i="21"/>
  <c r="AH74" i="20"/>
  <c r="AH32" i="20"/>
  <c r="AH28" i="19"/>
  <c r="AH4" i="20"/>
  <c r="AH4" i="19"/>
  <c r="AH4" i="17"/>
  <c r="AH4" i="18"/>
  <c r="AH10" i="18"/>
  <c r="AH10" i="16"/>
  <c r="AH10" i="17"/>
  <c r="AH4" i="16"/>
  <c r="AH27" i="15"/>
  <c r="AH40" i="15"/>
  <c r="AH4" i="15"/>
  <c r="AH4" i="14"/>
  <c r="AH4" i="13"/>
  <c r="AH28" i="13"/>
  <c r="AH69" i="12"/>
  <c r="AH59" i="12"/>
  <c r="AH82" i="12"/>
  <c r="AH19" i="13"/>
  <c r="AH4" i="12"/>
  <c r="AH46" i="12"/>
  <c r="AH18" i="12"/>
  <c r="AH4" i="9"/>
  <c r="AH12" i="10"/>
  <c r="AH35" i="9"/>
  <c r="AH4" i="10"/>
  <c r="AH10" i="9"/>
  <c r="AH331" i="6"/>
  <c r="AH332" i="6" s="1"/>
  <c r="AH19" i="10"/>
  <c r="AH23" i="11"/>
  <c r="AH4" i="11"/>
  <c r="AH336" i="6"/>
  <c r="AH337" i="6" s="1"/>
  <c r="AH4" i="8"/>
  <c r="AH4" i="7"/>
  <c r="AH296" i="6"/>
  <c r="AH297" i="6" s="1"/>
  <c r="AH346" i="6"/>
  <c r="AH347" i="6" s="1"/>
  <c r="AH259" i="6"/>
  <c r="AH351" i="6"/>
  <c r="AH352" i="6" s="1"/>
  <c r="AH275" i="6"/>
  <c r="AH320" i="6"/>
  <c r="AH301" i="6"/>
  <c r="AH302" i="6" s="1"/>
  <c r="AH312" i="6"/>
  <c r="AH93" i="6"/>
  <c r="AH126" i="6"/>
  <c r="AH100" i="6"/>
  <c r="AH106" i="6"/>
  <c r="AH60" i="6"/>
  <c r="AH188" i="6"/>
  <c r="AH80" i="6"/>
  <c r="AH202" i="6"/>
  <c r="AH140" i="6"/>
  <c r="AH86" i="6"/>
  <c r="AH33" i="6"/>
  <c r="AH11" i="6"/>
  <c r="AH12" i="6" s="1"/>
  <c r="AH66" i="6"/>
  <c r="AH46" i="6"/>
  <c r="AH40" i="6"/>
  <c r="AH23" i="6"/>
  <c r="AH24" i="6" s="1"/>
  <c r="AH4" i="6"/>
  <c r="AH73" i="6"/>
  <c r="AH53" i="6"/>
  <c r="AI28" i="6"/>
  <c r="AH35" i="10"/>
  <c r="Y18" i="49" l="1"/>
  <c r="X5" i="51"/>
  <c r="S30" i="13"/>
  <c r="S14" i="13"/>
  <c r="S13" i="28" s="1"/>
  <c r="N22" i="34"/>
  <c r="H61" i="51" s="1"/>
  <c r="AH9" i="37"/>
  <c r="AH17" i="12"/>
  <c r="AH42" i="10"/>
  <c r="AH22" i="10"/>
  <c r="T25" i="12"/>
  <c r="T50" i="12"/>
  <c r="AF203" i="6"/>
  <c r="AF224" i="6"/>
  <c r="AE19" i="37"/>
  <c r="AF83" i="12"/>
  <c r="AF85" i="12" s="1"/>
  <c r="AI4" i="4"/>
  <c r="AI4" i="40"/>
  <c r="AI4" i="37"/>
  <c r="AI4" i="34"/>
  <c r="AI4" i="31"/>
  <c r="AI4" i="28"/>
  <c r="AI4" i="22"/>
  <c r="AI74" i="20"/>
  <c r="AI10" i="21"/>
  <c r="AI4" i="21"/>
  <c r="AI32" i="20"/>
  <c r="AI10" i="18"/>
  <c r="AI4" i="20"/>
  <c r="AI4" i="18"/>
  <c r="AI28" i="19"/>
  <c r="AI4" i="19"/>
  <c r="AI10" i="17"/>
  <c r="AI4" i="15"/>
  <c r="AI4" i="17"/>
  <c r="AI4" i="16"/>
  <c r="AI27" i="15"/>
  <c r="AI10" i="16"/>
  <c r="AI4" i="14"/>
  <c r="AI40" i="15"/>
  <c r="AI28" i="13"/>
  <c r="AI4" i="13"/>
  <c r="AI59" i="12"/>
  <c r="AI82" i="12"/>
  <c r="AI19" i="13"/>
  <c r="AI46" i="12"/>
  <c r="AI18" i="12"/>
  <c r="AI69" i="12"/>
  <c r="AI4" i="12"/>
  <c r="AI12" i="10"/>
  <c r="AI35" i="9"/>
  <c r="AI4" i="8"/>
  <c r="AI4" i="10"/>
  <c r="AI19" i="10"/>
  <c r="AI346" i="6"/>
  <c r="AI347" i="6" s="1"/>
  <c r="AI23" i="11"/>
  <c r="AI4" i="11"/>
  <c r="AI4" i="9"/>
  <c r="AI4" i="7"/>
  <c r="AI351" i="6"/>
  <c r="AI352" i="6" s="1"/>
  <c r="AI296" i="6"/>
  <c r="AI297" i="6" s="1"/>
  <c r="AI259" i="6"/>
  <c r="AI275" i="6"/>
  <c r="AI320" i="6"/>
  <c r="AI301" i="6"/>
  <c r="AI302" i="6" s="1"/>
  <c r="AI10" i="9"/>
  <c r="AI331" i="6"/>
  <c r="AI332" i="6" s="1"/>
  <c r="AI336" i="6"/>
  <c r="AI337" i="6" s="1"/>
  <c r="AI312" i="6"/>
  <c r="AI188" i="6"/>
  <c r="AI126" i="6"/>
  <c r="AI100" i="6"/>
  <c r="AI106" i="6"/>
  <c r="AI66" i="6"/>
  <c r="AI80" i="6"/>
  <c r="AI202" i="6"/>
  <c r="AI140" i="6"/>
  <c r="AI86" i="6"/>
  <c r="AI93" i="6"/>
  <c r="AI40" i="6"/>
  <c r="AJ28" i="6"/>
  <c r="AI46" i="6"/>
  <c r="AI23" i="6"/>
  <c r="AI24" i="6" s="1"/>
  <c r="AI60" i="6"/>
  <c r="AI4" i="6"/>
  <c r="AI33" i="6"/>
  <c r="AI11" i="6"/>
  <c r="AI12" i="6" s="1"/>
  <c r="AI73" i="6"/>
  <c r="AI53" i="6"/>
  <c r="AI35" i="10"/>
  <c r="AH14" i="37"/>
  <c r="AH64" i="12"/>
  <c r="AH72" i="12"/>
  <c r="AH76" i="12"/>
  <c r="AH77" i="12" s="1"/>
  <c r="AG40" i="12"/>
  <c r="AG32" i="12"/>
  <c r="AG13" i="10"/>
  <c r="AG14" i="10" s="1"/>
  <c r="T8" i="31"/>
  <c r="N23" i="51" s="1"/>
  <c r="U20" i="13"/>
  <c r="AF141" i="6"/>
  <c r="AF162" i="6"/>
  <c r="AF8" i="37"/>
  <c r="AF16" i="12"/>
  <c r="AF34" i="10"/>
  <c r="AF21" i="10"/>
  <c r="AF41" i="10"/>
  <c r="AF43" i="10" s="1"/>
  <c r="AF25" i="14" s="1"/>
  <c r="AF26" i="14" s="1"/>
  <c r="AH53" i="20"/>
  <c r="AH54" i="20" s="1"/>
  <c r="AH58" i="20" s="1"/>
  <c r="AH59" i="20"/>
  <c r="AH283" i="6"/>
  <c r="AH250" i="6"/>
  <c r="AH242" i="6"/>
  <c r="AH290" i="6"/>
  <c r="AH291" i="6" s="1"/>
  <c r="AH183" i="6"/>
  <c r="AH234" i="6"/>
  <c r="AH121" i="6"/>
  <c r="AH18" i="6"/>
  <c r="AH19" i="6" s="1"/>
  <c r="AH101" i="6"/>
  <c r="AH107" i="6"/>
  <c r="AH94" i="6"/>
  <c r="P28" i="16"/>
  <c r="P14" i="16"/>
  <c r="AF54" i="6"/>
  <c r="AF67" i="6"/>
  <c r="AF61" i="6"/>
  <c r="AG2" i="4"/>
  <c r="AG2" i="40"/>
  <c r="AG2" i="37"/>
  <c r="AG2" i="34"/>
  <c r="AG2" i="31"/>
  <c r="AG2" i="28"/>
  <c r="AG2" i="22"/>
  <c r="AG2" i="21"/>
  <c r="AG60" i="20"/>
  <c r="AG2" i="20"/>
  <c r="AG2" i="19"/>
  <c r="AG2" i="17"/>
  <c r="AG2" i="18"/>
  <c r="AG2" i="15"/>
  <c r="AG2" i="16"/>
  <c r="AG2" i="13"/>
  <c r="AG2" i="14"/>
  <c r="AG2" i="12"/>
  <c r="AG2" i="11"/>
  <c r="AG2" i="10"/>
  <c r="AG241" i="6"/>
  <c r="AG243" i="6" s="1"/>
  <c r="AG20" i="16" s="1"/>
  <c r="AG282" i="6"/>
  <c r="AG284" i="6" s="1"/>
  <c r="AG276" i="6" s="1"/>
  <c r="AG277" i="6" s="1"/>
  <c r="AG270" i="6" s="1"/>
  <c r="AG2" i="7"/>
  <c r="AG249" i="6"/>
  <c r="AG251" i="6" s="1"/>
  <c r="AG21" i="18" s="1"/>
  <c r="AG233" i="6"/>
  <c r="AG235" i="6" s="1"/>
  <c r="AG21" i="17" s="1"/>
  <c r="AG2" i="9"/>
  <c r="AG319" i="6"/>
  <c r="AG321" i="6" s="1"/>
  <c r="AG2" i="8"/>
  <c r="AG313" i="6"/>
  <c r="AG176" i="6"/>
  <c r="AG177" i="6" s="1"/>
  <c r="AG120" i="6"/>
  <c r="AG122" i="6" s="1"/>
  <c r="AG127" i="6" s="1"/>
  <c r="AG128" i="6" s="1"/>
  <c r="AG132" i="6" s="1"/>
  <c r="AG114" i="6"/>
  <c r="AG115" i="6" s="1"/>
  <c r="AG92" i="6"/>
  <c r="AG209" i="6"/>
  <c r="AG182" i="6"/>
  <c r="AG184" i="6" s="1"/>
  <c r="AG189" i="6" s="1"/>
  <c r="AG190" i="6" s="1"/>
  <c r="AG194" i="6" s="1"/>
  <c r="AG147" i="6"/>
  <c r="AG72" i="6"/>
  <c r="AG52" i="6"/>
  <c r="AG2" i="6"/>
  <c r="AG32" i="6"/>
  <c r="AE12" i="14"/>
  <c r="AE27" i="14"/>
  <c r="AE9" i="28" s="1"/>
  <c r="AE49" i="15"/>
  <c r="AE34" i="15"/>
  <c r="N32" i="16"/>
  <c r="N45" i="16"/>
  <c r="N46" i="16" s="1"/>
  <c r="N41" i="16"/>
  <c r="N34" i="17"/>
  <c r="N35" i="17" s="1"/>
  <c r="N48" i="17"/>
  <c r="AG61" i="20"/>
  <c r="AG67" i="20" s="1"/>
  <c r="O10" i="37"/>
  <c r="J26" i="49" s="1"/>
  <c r="O24" i="12"/>
  <c r="O26" i="12" s="1"/>
  <c r="O31" i="12" s="1"/>
  <c r="P20" i="10"/>
  <c r="AH3" i="40"/>
  <c r="AH3" i="4"/>
  <c r="AH3" i="37"/>
  <c r="AH3" i="34"/>
  <c r="AH3" i="31"/>
  <c r="AH3" i="28"/>
  <c r="AH3" i="22"/>
  <c r="AH3" i="21"/>
  <c r="AH3" i="20"/>
  <c r="AH3" i="19"/>
  <c r="AH3" i="16"/>
  <c r="AH3" i="17"/>
  <c r="AH3" i="18"/>
  <c r="AH3" i="15"/>
  <c r="AH3" i="14"/>
  <c r="AH3" i="13"/>
  <c r="AH3" i="12"/>
  <c r="AH3" i="11"/>
  <c r="AH3" i="10"/>
  <c r="AH3" i="9"/>
  <c r="AH3" i="7"/>
  <c r="AH3" i="8"/>
  <c r="AH99" i="6"/>
  <c r="AH79" i="6"/>
  <c r="AH3" i="6"/>
  <c r="AH39" i="6"/>
  <c r="AH59" i="6"/>
  <c r="AH314" i="6"/>
  <c r="AG18" i="37"/>
  <c r="AB30" i="49" s="1"/>
  <c r="AG31" i="13"/>
  <c r="AG84" i="12"/>
  <c r="AG23" i="13"/>
  <c r="AG62" i="12"/>
  <c r="O16" i="19"/>
  <c r="O17" i="19" s="1"/>
  <c r="O42" i="15"/>
  <c r="O20" i="15"/>
  <c r="O25" i="11"/>
  <c r="R9" i="31"/>
  <c r="L24" i="51" s="1"/>
  <c r="AH74" i="6"/>
  <c r="AH81" i="6"/>
  <c r="AH87" i="6"/>
  <c r="N48" i="18"/>
  <c r="N34" i="18"/>
  <c r="N35" i="18" s="1"/>
  <c r="AH41" i="6"/>
  <c r="AH47" i="6"/>
  <c r="AH34" i="6"/>
  <c r="N16" i="28"/>
  <c r="AF26" i="31"/>
  <c r="Z41" i="51" s="1"/>
  <c r="AG11" i="21"/>
  <c r="AG13" i="21" s="1"/>
  <c r="AF29" i="9"/>
  <c r="N18" i="28"/>
  <c r="O16" i="37"/>
  <c r="O71" i="12"/>
  <c r="O73" i="12" s="1"/>
  <c r="O63" i="12"/>
  <c r="O65" i="12" s="1"/>
  <c r="S33" i="13"/>
  <c r="H12" i="51" l="1"/>
  <c r="I21" i="49"/>
  <c r="M9" i="51"/>
  <c r="N20" i="49"/>
  <c r="Y5" i="51"/>
  <c r="Z18" i="49"/>
  <c r="H14" i="51"/>
  <c r="I23" i="49"/>
  <c r="N13" i="18"/>
  <c r="N15" i="18" s="1"/>
  <c r="P20" i="34"/>
  <c r="J59" i="51" s="1"/>
  <c r="O21" i="19"/>
  <c r="O43" i="15"/>
  <c r="O45" i="15" s="1"/>
  <c r="O21" i="15"/>
  <c r="Q22" i="15" s="1"/>
  <c r="N47" i="16"/>
  <c r="N33" i="16"/>
  <c r="N34" i="16" s="1"/>
  <c r="AG224" i="6"/>
  <c r="AG203" i="6"/>
  <c r="AF27" i="14"/>
  <c r="AF9" i="28" s="1"/>
  <c r="AF49" i="15"/>
  <c r="AF34" i="15"/>
  <c r="AF12" i="14"/>
  <c r="AI74" i="6"/>
  <c r="AI81" i="6"/>
  <c r="AI87" i="6"/>
  <c r="AI107" i="6"/>
  <c r="AI94" i="6"/>
  <c r="AI101" i="6"/>
  <c r="AF19" i="37"/>
  <c r="AG83" i="12"/>
  <c r="AG85" i="12" s="1"/>
  <c r="T12" i="37"/>
  <c r="O27" i="49" s="1"/>
  <c r="T12" i="13"/>
  <c r="T13" i="13" s="1"/>
  <c r="U47" i="12"/>
  <c r="N17" i="28"/>
  <c r="AG8" i="37"/>
  <c r="AG16" i="12"/>
  <c r="AG21" i="10"/>
  <c r="AG41" i="10"/>
  <c r="AG43" i="10" s="1"/>
  <c r="AG25" i="14" s="1"/>
  <c r="AG26" i="14" s="1"/>
  <c r="AG34" i="10"/>
  <c r="AI3" i="40"/>
  <c r="AI3" i="4"/>
  <c r="AI3" i="37"/>
  <c r="AI3" i="34"/>
  <c r="AI3" i="31"/>
  <c r="AI3" i="28"/>
  <c r="AI3" i="22"/>
  <c r="AI3" i="21"/>
  <c r="AI3" i="19"/>
  <c r="AI3" i="20"/>
  <c r="AI3" i="17"/>
  <c r="AI3" i="18"/>
  <c r="AI3" i="14"/>
  <c r="AI3" i="15"/>
  <c r="AI3" i="16"/>
  <c r="AI3" i="13"/>
  <c r="AI3" i="12"/>
  <c r="AI3" i="11"/>
  <c r="AI3" i="10"/>
  <c r="AI3" i="8"/>
  <c r="AI3" i="9"/>
  <c r="AI3" i="7"/>
  <c r="AI99" i="6"/>
  <c r="AI59" i="6"/>
  <c r="AI79" i="6"/>
  <c r="AI3" i="6"/>
  <c r="AI39" i="6"/>
  <c r="N13" i="17"/>
  <c r="N15" i="17" s="1"/>
  <c r="U11" i="13"/>
  <c r="U24" i="13"/>
  <c r="S34" i="13"/>
  <c r="S9" i="31" s="1"/>
  <c r="M24" i="51" s="1"/>
  <c r="T29" i="13"/>
  <c r="AH40" i="12"/>
  <c r="AH32" i="12"/>
  <c r="AH13" i="10"/>
  <c r="AH14" i="10" s="1"/>
  <c r="AI9" i="37"/>
  <c r="AI17" i="12"/>
  <c r="AI42" i="10"/>
  <c r="AI22" i="10"/>
  <c r="N23" i="34"/>
  <c r="H62" i="51" s="1"/>
  <c r="AG61" i="6"/>
  <c r="AG67" i="6"/>
  <c r="AG54" i="6"/>
  <c r="AJ4" i="40"/>
  <c r="AJ4" i="4"/>
  <c r="AJ4" i="37"/>
  <c r="AJ4" i="34"/>
  <c r="AJ4" i="31"/>
  <c r="AJ4" i="28"/>
  <c r="AJ74" i="20"/>
  <c r="AJ4" i="21"/>
  <c r="AJ4" i="22"/>
  <c r="AJ10" i="21"/>
  <c r="AJ32" i="20"/>
  <c r="AJ4" i="20"/>
  <c r="AJ4" i="18"/>
  <c r="AJ28" i="19"/>
  <c r="AJ4" i="19"/>
  <c r="AJ10" i="18"/>
  <c r="AJ10" i="17"/>
  <c r="AJ27" i="15"/>
  <c r="AJ4" i="17"/>
  <c r="AJ40" i="15"/>
  <c r="AJ10" i="16"/>
  <c r="AJ4" i="14"/>
  <c r="AJ4" i="15"/>
  <c r="AJ4" i="16"/>
  <c r="AJ4" i="13"/>
  <c r="AJ28" i="13"/>
  <c r="AJ82" i="12"/>
  <c r="AJ19" i="13"/>
  <c r="AJ46" i="12"/>
  <c r="AJ23" i="11"/>
  <c r="AJ59" i="12"/>
  <c r="AJ18" i="12"/>
  <c r="AJ69" i="12"/>
  <c r="AJ4" i="12"/>
  <c r="AJ4" i="10"/>
  <c r="AJ19" i="10"/>
  <c r="AJ4" i="11"/>
  <c r="AJ12" i="10"/>
  <c r="AJ35" i="9"/>
  <c r="AJ4" i="8"/>
  <c r="AJ320" i="6"/>
  <c r="AJ259" i="6"/>
  <c r="AJ4" i="9"/>
  <c r="AJ346" i="6"/>
  <c r="AJ347" i="6" s="1"/>
  <c r="AJ275" i="6"/>
  <c r="AJ351" i="6"/>
  <c r="AJ352" i="6" s="1"/>
  <c r="AJ301" i="6"/>
  <c r="AJ302" i="6" s="1"/>
  <c r="AJ10" i="9"/>
  <c r="AJ331" i="6"/>
  <c r="AJ332" i="6" s="1"/>
  <c r="AJ336" i="6"/>
  <c r="AJ337" i="6" s="1"/>
  <c r="AJ202" i="6"/>
  <c r="AJ312" i="6"/>
  <c r="AJ4" i="7"/>
  <c r="AJ296" i="6"/>
  <c r="AJ297" i="6" s="1"/>
  <c r="AJ106" i="6"/>
  <c r="AJ188" i="6"/>
  <c r="AJ73" i="6"/>
  <c r="AJ80" i="6"/>
  <c r="AJ140" i="6"/>
  <c r="AJ86" i="6"/>
  <c r="AJ93" i="6"/>
  <c r="AJ126" i="6"/>
  <c r="AJ100" i="6"/>
  <c r="AJ46" i="6"/>
  <c r="AJ66" i="6"/>
  <c r="AJ40" i="6"/>
  <c r="AJ23" i="6"/>
  <c r="AJ24" i="6" s="1"/>
  <c r="AJ60" i="6"/>
  <c r="AJ4" i="6"/>
  <c r="AJ33" i="6"/>
  <c r="AJ11" i="6"/>
  <c r="AJ12" i="6" s="1"/>
  <c r="AJ53" i="6"/>
  <c r="AK28" i="6"/>
  <c r="AJ35" i="10"/>
  <c r="AI47" i="6"/>
  <c r="AI41" i="6"/>
  <c r="AI34" i="6"/>
  <c r="O15" i="37"/>
  <c r="J28" i="49" s="1"/>
  <c r="P60" i="12"/>
  <c r="O17" i="37"/>
  <c r="J29" i="49" s="1"/>
  <c r="P70" i="12"/>
  <c r="O17" i="11"/>
  <c r="O18" i="11" s="1"/>
  <c r="AG26" i="31"/>
  <c r="AA41" i="51" s="1"/>
  <c r="AH11" i="21"/>
  <c r="AH13" i="21" s="1"/>
  <c r="AG29" i="9"/>
  <c r="N25" i="34"/>
  <c r="H64" i="51" s="1"/>
  <c r="AH18" i="37"/>
  <c r="AH31" i="13"/>
  <c r="AH84" i="12"/>
  <c r="AH23" i="13"/>
  <c r="AH62" i="12"/>
  <c r="AI59" i="20"/>
  <c r="AI53" i="20"/>
  <c r="AI54" i="20" s="1"/>
  <c r="AI58" i="20" s="1"/>
  <c r="AI250" i="6"/>
  <c r="AI242" i="6"/>
  <c r="AI290" i="6"/>
  <c r="AI291" i="6" s="1"/>
  <c r="AI283" i="6"/>
  <c r="AI183" i="6"/>
  <c r="AI234" i="6"/>
  <c r="AI121" i="6"/>
  <c r="AI18" i="6"/>
  <c r="AI19" i="6" s="1"/>
  <c r="AI14" i="37"/>
  <c r="AI64" i="12"/>
  <c r="AI72" i="12"/>
  <c r="AI76" i="12"/>
  <c r="AI77" i="12" s="1"/>
  <c r="AI314" i="6"/>
  <c r="P28" i="10"/>
  <c r="AG162" i="6"/>
  <c r="AG141" i="6"/>
  <c r="AH2" i="4"/>
  <c r="AH2" i="40"/>
  <c r="AH2" i="37"/>
  <c r="AH2" i="34"/>
  <c r="AH2" i="31"/>
  <c r="AH2" i="28"/>
  <c r="AH2" i="21"/>
  <c r="AH2" i="22"/>
  <c r="AH60" i="20"/>
  <c r="AH61" i="20" s="1"/>
  <c r="AH67" i="20" s="1"/>
  <c r="AH2" i="20"/>
  <c r="AH2" i="19"/>
  <c r="AH2" i="17"/>
  <c r="AH2" i="18"/>
  <c r="AH2" i="16"/>
  <c r="AH2" i="15"/>
  <c r="AH2" i="13"/>
  <c r="AH2" i="14"/>
  <c r="AH2" i="12"/>
  <c r="AH2" i="10"/>
  <c r="AH2" i="9"/>
  <c r="AH2" i="11"/>
  <c r="AH282" i="6"/>
  <c r="AH284" i="6" s="1"/>
  <c r="AH276" i="6" s="1"/>
  <c r="AH277" i="6" s="1"/>
  <c r="AH270" i="6" s="1"/>
  <c r="AH2" i="7"/>
  <c r="AH249" i="6"/>
  <c r="AH251" i="6" s="1"/>
  <c r="AH21" i="18" s="1"/>
  <c r="AH233" i="6"/>
  <c r="AH235" i="6" s="1"/>
  <c r="AH21" i="17" s="1"/>
  <c r="AH209" i="6"/>
  <c r="AH319" i="6"/>
  <c r="AH321" i="6" s="1"/>
  <c r="AH2" i="8"/>
  <c r="AH313" i="6"/>
  <c r="AH241" i="6"/>
  <c r="AH243" i="6" s="1"/>
  <c r="AH20" i="16" s="1"/>
  <c r="AH182" i="6"/>
  <c r="AH184" i="6" s="1"/>
  <c r="AH189" i="6" s="1"/>
  <c r="AH190" i="6" s="1"/>
  <c r="AH194" i="6" s="1"/>
  <c r="AH176" i="6"/>
  <c r="AH177" i="6" s="1"/>
  <c r="AH120" i="6"/>
  <c r="AH122" i="6" s="1"/>
  <c r="AH127" i="6" s="1"/>
  <c r="AH128" i="6" s="1"/>
  <c r="AH132" i="6" s="1"/>
  <c r="AH114" i="6"/>
  <c r="AH115" i="6" s="1"/>
  <c r="AH92" i="6"/>
  <c r="AH52" i="6"/>
  <c r="AH147" i="6"/>
  <c r="AH72" i="6"/>
  <c r="AH2" i="6"/>
  <c r="AH32" i="6"/>
  <c r="Z5" i="51" l="1"/>
  <c r="AA18" i="49"/>
  <c r="H13" i="51"/>
  <c r="I22" i="49"/>
  <c r="O10" i="31"/>
  <c r="I25" i="51" s="1"/>
  <c r="P41" i="15"/>
  <c r="AH67" i="6"/>
  <c r="AH61" i="6"/>
  <c r="AH54" i="6"/>
  <c r="Q8" i="34"/>
  <c r="K47" i="51" s="1"/>
  <c r="Q44" i="15"/>
  <c r="AI18" i="37"/>
  <c r="AI31" i="13"/>
  <c r="AI84" i="12"/>
  <c r="AI23" i="13"/>
  <c r="AI62" i="12"/>
  <c r="U25" i="12"/>
  <c r="U50" i="12"/>
  <c r="N18" i="31"/>
  <c r="O11" i="18"/>
  <c r="AH26" i="31"/>
  <c r="AB41" i="51" s="1"/>
  <c r="AI11" i="21"/>
  <c r="AI13" i="21" s="1"/>
  <c r="AH29" i="9"/>
  <c r="P27" i="10"/>
  <c r="P29" i="10" s="1"/>
  <c r="AJ3" i="40"/>
  <c r="AJ3" i="4"/>
  <c r="AJ3" i="37"/>
  <c r="AJ3" i="34"/>
  <c r="AJ3" i="31"/>
  <c r="AJ3" i="28"/>
  <c r="AJ3" i="21"/>
  <c r="AJ3" i="22"/>
  <c r="AJ3" i="19"/>
  <c r="AJ3" i="20"/>
  <c r="AJ3" i="18"/>
  <c r="AJ3" i="17"/>
  <c r="AJ3" i="15"/>
  <c r="AJ3" i="16"/>
  <c r="AJ3" i="14"/>
  <c r="AJ3" i="13"/>
  <c r="AJ3" i="12"/>
  <c r="AJ3" i="10"/>
  <c r="AJ3" i="11"/>
  <c r="AJ3" i="7"/>
  <c r="AJ3" i="8"/>
  <c r="AJ3" i="9"/>
  <c r="AJ99" i="6"/>
  <c r="AJ79" i="6"/>
  <c r="AJ39" i="6"/>
  <c r="AJ59" i="6"/>
  <c r="AJ3" i="6"/>
  <c r="U8" i="31"/>
  <c r="O23" i="51" s="1"/>
  <c r="V20" i="13"/>
  <c r="T14" i="13"/>
  <c r="T13" i="28" s="1"/>
  <c r="T30" i="13"/>
  <c r="T33" i="13" s="1"/>
  <c r="AJ9" i="37"/>
  <c r="AJ17" i="12"/>
  <c r="AJ22" i="10"/>
  <c r="AJ42" i="10"/>
  <c r="AJ74" i="6"/>
  <c r="AJ81" i="6"/>
  <c r="AJ87" i="6"/>
  <c r="AH8" i="37"/>
  <c r="AH16" i="12"/>
  <c r="AH34" i="10"/>
  <c r="AH41" i="10"/>
  <c r="AH43" i="10" s="1"/>
  <c r="AH25" i="14" s="1"/>
  <c r="AH26" i="14" s="1"/>
  <c r="AH21" i="10"/>
  <c r="AH224" i="6"/>
  <c r="AH203" i="6"/>
  <c r="AK4" i="4"/>
  <c r="AK4" i="40"/>
  <c r="AK4" i="37"/>
  <c r="AK4" i="34"/>
  <c r="AK4" i="31"/>
  <c r="AK4" i="22"/>
  <c r="AK4" i="28"/>
  <c r="AK74" i="20"/>
  <c r="AK4" i="21"/>
  <c r="AK4" i="20"/>
  <c r="AK10" i="21"/>
  <c r="AK32" i="20"/>
  <c r="AK4" i="19"/>
  <c r="AK28" i="19"/>
  <c r="AK4" i="18"/>
  <c r="AK10" i="18"/>
  <c r="AK10" i="17"/>
  <c r="AK4" i="17"/>
  <c r="AK10" i="16"/>
  <c r="AK27" i="15"/>
  <c r="AK4" i="14"/>
  <c r="AK40" i="15"/>
  <c r="AK4" i="15"/>
  <c r="AK4" i="16"/>
  <c r="AK19" i="13"/>
  <c r="AK4" i="13"/>
  <c r="AK28" i="13"/>
  <c r="AK82" i="12"/>
  <c r="AK46" i="12"/>
  <c r="AK59" i="12"/>
  <c r="AK4" i="11"/>
  <c r="AK18" i="12"/>
  <c r="AK69" i="12"/>
  <c r="AK4" i="12"/>
  <c r="AK23" i="11"/>
  <c r="AK19" i="10"/>
  <c r="AK336" i="6"/>
  <c r="AK337" i="6" s="1"/>
  <c r="AK4" i="9"/>
  <c r="AK12" i="10"/>
  <c r="AK35" i="9"/>
  <c r="AK4" i="10"/>
  <c r="AK346" i="6"/>
  <c r="AK347" i="6" s="1"/>
  <c r="AK275" i="6"/>
  <c r="AK351" i="6"/>
  <c r="AK352" i="6" s="1"/>
  <c r="AK301" i="6"/>
  <c r="AK302" i="6" s="1"/>
  <c r="AK10" i="9"/>
  <c r="AK331" i="6"/>
  <c r="AK332" i="6" s="1"/>
  <c r="AK320" i="6"/>
  <c r="AK312" i="6"/>
  <c r="AK4" i="7"/>
  <c r="AK296" i="6"/>
  <c r="AK297" i="6" s="1"/>
  <c r="AK4" i="8"/>
  <c r="AK259" i="6"/>
  <c r="AK188" i="6"/>
  <c r="AK80" i="6"/>
  <c r="AK4" i="6"/>
  <c r="AK140" i="6"/>
  <c r="AK86" i="6"/>
  <c r="AK202" i="6"/>
  <c r="AK93" i="6"/>
  <c r="AK126" i="6"/>
  <c r="AK100" i="6"/>
  <c r="AK106" i="6"/>
  <c r="AK53" i="6"/>
  <c r="AK23" i="6"/>
  <c r="AK24" i="6" s="1"/>
  <c r="AK66" i="6"/>
  <c r="AK46" i="6"/>
  <c r="AK40" i="6"/>
  <c r="AK60" i="6"/>
  <c r="AK33" i="6"/>
  <c r="AK11" i="6"/>
  <c r="AK12" i="6" s="1"/>
  <c r="AK73" i="6"/>
  <c r="AL28" i="6"/>
  <c r="AK35" i="10"/>
  <c r="AG19" i="37"/>
  <c r="AH83" i="12"/>
  <c r="AH85" i="12" s="1"/>
  <c r="N13" i="16"/>
  <c r="N15" i="16" s="1"/>
  <c r="AH162" i="6"/>
  <c r="AH141" i="6"/>
  <c r="AI32" i="12"/>
  <c r="AI40" i="12"/>
  <c r="AI13" i="10"/>
  <c r="AI14" i="10" s="1"/>
  <c r="O8" i="28"/>
  <c r="O19" i="16"/>
  <c r="O21" i="16" s="1"/>
  <c r="O26" i="11"/>
  <c r="O27" i="11" s="1"/>
  <c r="AJ14" i="37"/>
  <c r="AJ72" i="12"/>
  <c r="AJ76" i="12"/>
  <c r="AJ77" i="12" s="1"/>
  <c r="AJ64" i="12"/>
  <c r="N16" i="31"/>
  <c r="O11" i="17"/>
  <c r="AI2" i="4"/>
  <c r="AI2" i="40"/>
  <c r="AI2" i="37"/>
  <c r="AI2" i="34"/>
  <c r="AI2" i="28"/>
  <c r="AI2" i="31"/>
  <c r="AI2" i="22"/>
  <c r="AI60" i="20"/>
  <c r="AI61" i="20" s="1"/>
  <c r="AI67" i="20" s="1"/>
  <c r="AI2" i="21"/>
  <c r="AI2" i="20"/>
  <c r="AI2" i="19"/>
  <c r="AI2" i="18"/>
  <c r="AI2" i="17"/>
  <c r="AI2" i="15"/>
  <c r="AI2" i="16"/>
  <c r="AI2" i="13"/>
  <c r="AI2" i="14"/>
  <c r="AI2" i="12"/>
  <c r="AI2" i="11"/>
  <c r="AI2" i="10"/>
  <c r="AI2" i="9"/>
  <c r="AI2" i="7"/>
  <c r="AI282" i="6"/>
  <c r="AI284" i="6" s="1"/>
  <c r="AI276" i="6" s="1"/>
  <c r="AI277" i="6" s="1"/>
  <c r="AI270" i="6" s="1"/>
  <c r="AI249" i="6"/>
  <c r="AI251" i="6" s="1"/>
  <c r="AI21" i="18" s="1"/>
  <c r="AI319" i="6"/>
  <c r="AI321" i="6" s="1"/>
  <c r="AI2" i="8"/>
  <c r="AI313" i="6"/>
  <c r="AJ314" i="6" s="1"/>
  <c r="AI241" i="6"/>
  <c r="AI243" i="6" s="1"/>
  <c r="AI20" i="16" s="1"/>
  <c r="AI176" i="6"/>
  <c r="AI177" i="6" s="1"/>
  <c r="AI114" i="6"/>
  <c r="AI115" i="6" s="1"/>
  <c r="AI92" i="6"/>
  <c r="AI209" i="6"/>
  <c r="AI147" i="6"/>
  <c r="AI182" i="6"/>
  <c r="AI184" i="6" s="1"/>
  <c r="AI189" i="6" s="1"/>
  <c r="AI190" i="6" s="1"/>
  <c r="AI194" i="6" s="1"/>
  <c r="AI233" i="6"/>
  <c r="AI235" i="6" s="1"/>
  <c r="AI21" i="17" s="1"/>
  <c r="AI120" i="6"/>
  <c r="AI122" i="6" s="1"/>
  <c r="AI127" i="6" s="1"/>
  <c r="AI128" i="6" s="1"/>
  <c r="AI132" i="6" s="1"/>
  <c r="AI32" i="6"/>
  <c r="AI72" i="6"/>
  <c r="AI52" i="6"/>
  <c r="AI2" i="6"/>
  <c r="AG27" i="14"/>
  <c r="AG9" i="28" s="1"/>
  <c r="AG49" i="15"/>
  <c r="AG34" i="15"/>
  <c r="AG12" i="14"/>
  <c r="AJ59" i="20"/>
  <c r="AJ53" i="20"/>
  <c r="AJ54" i="20" s="1"/>
  <c r="AJ58" i="20" s="1"/>
  <c r="AJ234" i="6"/>
  <c r="AJ242" i="6"/>
  <c r="AJ183" i="6"/>
  <c r="AJ290" i="6"/>
  <c r="AJ291" i="6" s="1"/>
  <c r="AJ283" i="6"/>
  <c r="AJ250" i="6"/>
  <c r="AJ121" i="6"/>
  <c r="AJ18" i="6"/>
  <c r="AJ19" i="6" s="1"/>
  <c r="AJ41" i="6"/>
  <c r="AJ34" i="6"/>
  <c r="AJ47" i="6"/>
  <c r="N24" i="34"/>
  <c r="H63" i="51" s="1"/>
  <c r="AJ94" i="6"/>
  <c r="AJ101" i="6"/>
  <c r="AJ107" i="6"/>
  <c r="I4" i="51" l="1"/>
  <c r="J12" i="49"/>
  <c r="H31" i="51"/>
  <c r="I9" i="49"/>
  <c r="N9" i="51"/>
  <c r="O20" i="49"/>
  <c r="H33" i="51"/>
  <c r="I10" i="49"/>
  <c r="AA5" i="51"/>
  <c r="AB18" i="49"/>
  <c r="AJ18" i="37"/>
  <c r="AJ31" i="13"/>
  <c r="AJ23" i="13"/>
  <c r="AJ62" i="12"/>
  <c r="AJ84" i="12"/>
  <c r="P53" i="12"/>
  <c r="P54" i="12" s="1"/>
  <c r="P11" i="11"/>
  <c r="P12" i="11" s="1"/>
  <c r="P23" i="10"/>
  <c r="P24" i="10" s="1"/>
  <c r="U12" i="37"/>
  <c r="P27" i="49" s="1"/>
  <c r="U12" i="13"/>
  <c r="U13" i="13" s="1"/>
  <c r="V47" i="12"/>
  <c r="AL4" i="40"/>
  <c r="AL4" i="4"/>
  <c r="AL4" i="37"/>
  <c r="AL4" i="34"/>
  <c r="AL4" i="31"/>
  <c r="AL4" i="28"/>
  <c r="AL10" i="21"/>
  <c r="AL4" i="22"/>
  <c r="AL4" i="21"/>
  <c r="AL74" i="20"/>
  <c r="AL4" i="20"/>
  <c r="AL32" i="20"/>
  <c r="AL28" i="19"/>
  <c r="AL4" i="19"/>
  <c r="AL10" i="18"/>
  <c r="AL10" i="17"/>
  <c r="AL4" i="16"/>
  <c r="AL4" i="17"/>
  <c r="AL4" i="18"/>
  <c r="AL10" i="16"/>
  <c r="AL27" i="15"/>
  <c r="AL40" i="15"/>
  <c r="AL4" i="15"/>
  <c r="AL4" i="14"/>
  <c r="AL28" i="13"/>
  <c r="AL82" i="12"/>
  <c r="AL19" i="13"/>
  <c r="AL46" i="12"/>
  <c r="AL4" i="13"/>
  <c r="AL69" i="12"/>
  <c r="AL18" i="12"/>
  <c r="AL4" i="12"/>
  <c r="AL23" i="11"/>
  <c r="AL59" i="12"/>
  <c r="AL4" i="11"/>
  <c r="AL19" i="10"/>
  <c r="AL10" i="9"/>
  <c r="AL4" i="9"/>
  <c r="AL4" i="7"/>
  <c r="AL351" i="6"/>
  <c r="AL352" i="6" s="1"/>
  <c r="AL12" i="10"/>
  <c r="AL35" i="9"/>
  <c r="AL4" i="8"/>
  <c r="AL4" i="10"/>
  <c r="AL301" i="6"/>
  <c r="AL302" i="6" s="1"/>
  <c r="AL331" i="6"/>
  <c r="AL332" i="6" s="1"/>
  <c r="AL320" i="6"/>
  <c r="AL336" i="6"/>
  <c r="AL337" i="6" s="1"/>
  <c r="AL312" i="6"/>
  <c r="AL188" i="6"/>
  <c r="AL296" i="6"/>
  <c r="AL297" i="6" s="1"/>
  <c r="AL259" i="6"/>
  <c r="AL346" i="6"/>
  <c r="AL347" i="6" s="1"/>
  <c r="AL275" i="6"/>
  <c r="AL80" i="6"/>
  <c r="AL140" i="6"/>
  <c r="AL86" i="6"/>
  <c r="AL33" i="6"/>
  <c r="AL11" i="6"/>
  <c r="AL12" i="6" s="1"/>
  <c r="AL202" i="6"/>
  <c r="AL93" i="6"/>
  <c r="AL126" i="6"/>
  <c r="AL100" i="6"/>
  <c r="AL106" i="6"/>
  <c r="AL60" i="6"/>
  <c r="AL40" i="6"/>
  <c r="AL23" i="6"/>
  <c r="AL24" i="6" s="1"/>
  <c r="AL4" i="6"/>
  <c r="AL73" i="6"/>
  <c r="AL53" i="6"/>
  <c r="AM28" i="6"/>
  <c r="AL66" i="6"/>
  <c r="AL46" i="6"/>
  <c r="AL35" i="10"/>
  <c r="AK3" i="4"/>
  <c r="AK3" i="40"/>
  <c r="AK3" i="37"/>
  <c r="AK3" i="34"/>
  <c r="AK3" i="22"/>
  <c r="AK3" i="31"/>
  <c r="AK3" i="28"/>
  <c r="AK3" i="21"/>
  <c r="AK3" i="20"/>
  <c r="AK3" i="19"/>
  <c r="AK3" i="17"/>
  <c r="AK3" i="18"/>
  <c r="AK3" i="15"/>
  <c r="AK3" i="16"/>
  <c r="AK3" i="13"/>
  <c r="AK3" i="14"/>
  <c r="AK3" i="12"/>
  <c r="AK3" i="11"/>
  <c r="AK3" i="10"/>
  <c r="AK3" i="7"/>
  <c r="AK3" i="8"/>
  <c r="AK3" i="9"/>
  <c r="AK79" i="6"/>
  <c r="AK99" i="6"/>
  <c r="AK3" i="6"/>
  <c r="AK39" i="6"/>
  <c r="AK59" i="6"/>
  <c r="AI8" i="37"/>
  <c r="AI16" i="12"/>
  <c r="AI41" i="10"/>
  <c r="AI43" i="10" s="1"/>
  <c r="AI25" i="14" s="1"/>
  <c r="AI26" i="14" s="1"/>
  <c r="AI34" i="10"/>
  <c r="AI21" i="10"/>
  <c r="AK14" i="37"/>
  <c r="AK72" i="12"/>
  <c r="AK76" i="12"/>
  <c r="AK77" i="12" s="1"/>
  <c r="AK64" i="12"/>
  <c r="AI26" i="31"/>
  <c r="AC41" i="51" s="1"/>
  <c r="AJ11" i="21"/>
  <c r="AJ13" i="21" s="1"/>
  <c r="AI29" i="9"/>
  <c r="AJ40" i="12"/>
  <c r="AJ32" i="12"/>
  <c r="AJ13" i="10"/>
  <c r="AJ14" i="10" s="1"/>
  <c r="O19" i="34"/>
  <c r="I58" i="51" s="1"/>
  <c r="O26" i="16"/>
  <c r="Q27" i="16" s="1"/>
  <c r="O12" i="16"/>
  <c r="AK53" i="20"/>
  <c r="AK54" i="20" s="1"/>
  <c r="AK58" i="20" s="1"/>
  <c r="AK59" i="20"/>
  <c r="AK234" i="6"/>
  <c r="AK242" i="6"/>
  <c r="AK290" i="6"/>
  <c r="AK291" i="6" s="1"/>
  <c r="AK283" i="6"/>
  <c r="AK250" i="6"/>
  <c r="AK183" i="6"/>
  <c r="AK121" i="6"/>
  <c r="AK18" i="6"/>
  <c r="AK19" i="6" s="1"/>
  <c r="AK9" i="37"/>
  <c r="AK17" i="12"/>
  <c r="AK42" i="10"/>
  <c r="AK22" i="10"/>
  <c r="N17" i="31"/>
  <c r="O11" i="16"/>
  <c r="AI67" i="6"/>
  <c r="AI61" i="6"/>
  <c r="AI54" i="6"/>
  <c r="V11" i="13"/>
  <c r="O40" i="18"/>
  <c r="O41" i="18" s="1"/>
  <c r="O27" i="18"/>
  <c r="O28" i="18" s="1"/>
  <c r="AJ2" i="4"/>
  <c r="AJ2" i="40"/>
  <c r="AJ2" i="37"/>
  <c r="AJ2" i="34"/>
  <c r="AJ2" i="31"/>
  <c r="AJ2" i="28"/>
  <c r="AJ2" i="22"/>
  <c r="AJ60" i="20"/>
  <c r="AJ61" i="20" s="1"/>
  <c r="AJ67" i="20" s="1"/>
  <c r="AJ2" i="21"/>
  <c r="AJ2" i="19"/>
  <c r="AJ2" i="18"/>
  <c r="AJ2" i="20"/>
  <c r="AJ2" i="17"/>
  <c r="AJ2" i="16"/>
  <c r="AJ2" i="14"/>
  <c r="AJ2" i="15"/>
  <c r="AJ2" i="13"/>
  <c r="AJ2" i="12"/>
  <c r="AJ2" i="11"/>
  <c r="AJ2" i="10"/>
  <c r="AJ2" i="8"/>
  <c r="AJ249" i="6"/>
  <c r="AJ251" i="6" s="1"/>
  <c r="AJ21" i="18" s="1"/>
  <c r="AJ2" i="7"/>
  <c r="AJ319" i="6"/>
  <c r="AJ321" i="6" s="1"/>
  <c r="AJ313" i="6"/>
  <c r="AK314" i="6" s="1"/>
  <c r="AJ2" i="9"/>
  <c r="AJ241" i="6"/>
  <c r="AJ243" i="6" s="1"/>
  <c r="AJ20" i="16" s="1"/>
  <c r="AJ282" i="6"/>
  <c r="AJ284" i="6" s="1"/>
  <c r="AJ276" i="6" s="1"/>
  <c r="AJ277" i="6" s="1"/>
  <c r="AJ270" i="6" s="1"/>
  <c r="AJ209" i="6"/>
  <c r="AJ147" i="6"/>
  <c r="AJ182" i="6"/>
  <c r="AJ184" i="6" s="1"/>
  <c r="AJ189" i="6" s="1"/>
  <c r="AJ190" i="6" s="1"/>
  <c r="AJ194" i="6" s="1"/>
  <c r="AJ233" i="6"/>
  <c r="AJ235" i="6" s="1"/>
  <c r="AJ21" i="17" s="1"/>
  <c r="AJ120" i="6"/>
  <c r="AJ122" i="6" s="1"/>
  <c r="AJ127" i="6" s="1"/>
  <c r="AJ128" i="6" s="1"/>
  <c r="AJ132" i="6" s="1"/>
  <c r="AJ176" i="6"/>
  <c r="AJ177" i="6" s="1"/>
  <c r="AJ114" i="6"/>
  <c r="AJ115" i="6" s="1"/>
  <c r="AJ92" i="6"/>
  <c r="AJ52" i="6"/>
  <c r="AJ2" i="6"/>
  <c r="AJ32" i="6"/>
  <c r="AJ72" i="6"/>
  <c r="O40" i="17"/>
  <c r="O41" i="17" s="1"/>
  <c r="T34" i="13"/>
  <c r="T9" i="31" s="1"/>
  <c r="N24" i="51" s="1"/>
  <c r="U29" i="13"/>
  <c r="AK34" i="6"/>
  <c r="AK47" i="6"/>
  <c r="AK41" i="6"/>
  <c r="AK74" i="6"/>
  <c r="AK81" i="6"/>
  <c r="AK87" i="6"/>
  <c r="AI162" i="6"/>
  <c r="AI141" i="6"/>
  <c r="AH19" i="37"/>
  <c r="AI83" i="12"/>
  <c r="AI85" i="12" s="1"/>
  <c r="AK94" i="6"/>
  <c r="AK101" i="6"/>
  <c r="AK107" i="6"/>
  <c r="AI203" i="6"/>
  <c r="AI224" i="6"/>
  <c r="O14" i="31"/>
  <c r="I29" i="51" s="1"/>
  <c r="P24" i="11"/>
  <c r="AH49" i="15"/>
  <c r="AH34" i="15"/>
  <c r="AH27" i="14"/>
  <c r="AH9" i="28" s="1"/>
  <c r="AB5" i="51" s="1"/>
  <c r="AH12" i="14"/>
  <c r="I8" i="49" l="1"/>
  <c r="H32" i="51"/>
  <c r="O42" i="17"/>
  <c r="O16" i="28" s="1"/>
  <c r="O33" i="17"/>
  <c r="O46" i="17"/>
  <c r="O47" i="17" s="1"/>
  <c r="AJ141" i="6"/>
  <c r="AJ162" i="6"/>
  <c r="Q14" i="16"/>
  <c r="Q28" i="16"/>
  <c r="Q20" i="34" s="1"/>
  <c r="K59" i="51" s="1"/>
  <c r="AL41" i="6"/>
  <c r="AL47" i="6"/>
  <c r="AL34" i="6"/>
  <c r="V25" i="12"/>
  <c r="AJ26" i="31"/>
  <c r="AD41" i="51" s="1"/>
  <c r="AK11" i="21"/>
  <c r="AK13" i="21" s="1"/>
  <c r="AJ29" i="9"/>
  <c r="AJ224" i="6"/>
  <c r="AJ203" i="6"/>
  <c r="O29" i="18"/>
  <c r="O22" i="34" s="1"/>
  <c r="I61" i="51" s="1"/>
  <c r="O14" i="18"/>
  <c r="AK40" i="12"/>
  <c r="AK32" i="12"/>
  <c r="AK13" i="10"/>
  <c r="AK14" i="10" s="1"/>
  <c r="U14" i="13"/>
  <c r="U13" i="28" s="1"/>
  <c r="U30" i="13"/>
  <c r="U33" i="13" s="1"/>
  <c r="AI19" i="37"/>
  <c r="AJ83" i="12"/>
  <c r="AJ85" i="12" s="1"/>
  <c r="O42" i="18"/>
  <c r="O18" i="28" s="1"/>
  <c r="O33" i="18"/>
  <c r="O46" i="18"/>
  <c r="O47" i="18" s="1"/>
  <c r="AJ8" i="37"/>
  <c r="AJ16" i="12"/>
  <c r="AJ41" i="10"/>
  <c r="AJ43" i="10" s="1"/>
  <c r="AJ25" i="14" s="1"/>
  <c r="AJ26" i="14" s="1"/>
  <c r="AJ34" i="10"/>
  <c r="AJ21" i="10"/>
  <c r="AL9" i="37"/>
  <c r="AL17" i="12"/>
  <c r="AL42" i="10"/>
  <c r="AL22" i="10"/>
  <c r="AL3" i="4"/>
  <c r="AL3" i="40"/>
  <c r="AL3" i="37"/>
  <c r="AL3" i="34"/>
  <c r="AL3" i="31"/>
  <c r="AL3" i="21"/>
  <c r="AL3" i="22"/>
  <c r="AL3" i="28"/>
  <c r="AL3" i="20"/>
  <c r="AL3" i="19"/>
  <c r="AL3" i="17"/>
  <c r="AL3" i="18"/>
  <c r="AL3" i="16"/>
  <c r="AL3" i="15"/>
  <c r="AL3" i="13"/>
  <c r="AL3" i="14"/>
  <c r="AL3" i="12"/>
  <c r="AL3" i="10"/>
  <c r="AL3" i="9"/>
  <c r="AL3" i="11"/>
  <c r="AL3" i="7"/>
  <c r="AL3" i="8"/>
  <c r="AL79" i="6"/>
  <c r="AL99" i="6"/>
  <c r="AL39" i="6"/>
  <c r="AL59" i="6"/>
  <c r="AL3" i="6"/>
  <c r="AL59" i="20"/>
  <c r="AL53" i="20"/>
  <c r="AL54" i="20" s="1"/>
  <c r="AL58" i="20" s="1"/>
  <c r="AL242" i="6"/>
  <c r="AL290" i="6"/>
  <c r="AL291" i="6" s="1"/>
  <c r="AL283" i="6"/>
  <c r="AL250" i="6"/>
  <c r="AL234" i="6"/>
  <c r="AL183" i="6"/>
  <c r="AL121" i="6"/>
  <c r="AL18" i="6"/>
  <c r="AL19" i="6" s="1"/>
  <c r="O39" i="16"/>
  <c r="O40" i="16" s="1"/>
  <c r="AK18" i="37"/>
  <c r="AK84" i="12"/>
  <c r="AK31" i="13"/>
  <c r="AK23" i="13"/>
  <c r="AK62" i="12"/>
  <c r="P10" i="37"/>
  <c r="K26" i="49" s="1"/>
  <c r="P24" i="12"/>
  <c r="P26" i="12" s="1"/>
  <c r="P31" i="12" s="1"/>
  <c r="Q20" i="10"/>
  <c r="AI49" i="15"/>
  <c r="AI34" i="15"/>
  <c r="AI12" i="14"/>
  <c r="AI27" i="14"/>
  <c r="AI9" i="28" s="1"/>
  <c r="AC5" i="51" s="1"/>
  <c r="AK2" i="4"/>
  <c r="AK2" i="40"/>
  <c r="AK2" i="37"/>
  <c r="AK2" i="34"/>
  <c r="AK2" i="31"/>
  <c r="AK2" i="28"/>
  <c r="AK2" i="22"/>
  <c r="AK60" i="20"/>
  <c r="AK2" i="20"/>
  <c r="AK2" i="21"/>
  <c r="AK2" i="19"/>
  <c r="AK2" i="18"/>
  <c r="AK2" i="17"/>
  <c r="AK2" i="16"/>
  <c r="AK2" i="14"/>
  <c r="AK2" i="15"/>
  <c r="AK2" i="13"/>
  <c r="AK2" i="11"/>
  <c r="AK2" i="12"/>
  <c r="AK2" i="10"/>
  <c r="AK2" i="9"/>
  <c r="AK319" i="6"/>
  <c r="AK321" i="6" s="1"/>
  <c r="AK2" i="7"/>
  <c r="AK313" i="6"/>
  <c r="AL314" i="6" s="1"/>
  <c r="AK2" i="8"/>
  <c r="AK241" i="6"/>
  <c r="AK243" i="6" s="1"/>
  <c r="AK20" i="16" s="1"/>
  <c r="AK182" i="6"/>
  <c r="AK184" i="6" s="1"/>
  <c r="AK189" i="6" s="1"/>
  <c r="AK190" i="6" s="1"/>
  <c r="AK194" i="6" s="1"/>
  <c r="AK282" i="6"/>
  <c r="AK284" i="6" s="1"/>
  <c r="AK276" i="6" s="1"/>
  <c r="AK277" i="6" s="1"/>
  <c r="AK270" i="6" s="1"/>
  <c r="AK249" i="6"/>
  <c r="AK251" i="6" s="1"/>
  <c r="AK21" i="18" s="1"/>
  <c r="AK209" i="6"/>
  <c r="AK147" i="6"/>
  <c r="AK72" i="6"/>
  <c r="AK233" i="6"/>
  <c r="AK235" i="6" s="1"/>
  <c r="AK21" i="17" s="1"/>
  <c r="AK120" i="6"/>
  <c r="AK122" i="6" s="1"/>
  <c r="AK127" i="6" s="1"/>
  <c r="AK128" i="6" s="1"/>
  <c r="AK132" i="6" s="1"/>
  <c r="AK176" i="6"/>
  <c r="AK177" i="6" s="1"/>
  <c r="AK114" i="6"/>
  <c r="AK115" i="6" s="1"/>
  <c r="AK92" i="6"/>
  <c r="AK2" i="6"/>
  <c r="AK32" i="6"/>
  <c r="AK52" i="6"/>
  <c r="P16" i="19"/>
  <c r="P17" i="19" s="1"/>
  <c r="P42" i="15"/>
  <c r="P20" i="15"/>
  <c r="P25" i="11"/>
  <c r="AJ54" i="6"/>
  <c r="AJ61" i="6"/>
  <c r="AJ67" i="6"/>
  <c r="AK61" i="20"/>
  <c r="AK67" i="20" s="1"/>
  <c r="AL74" i="6"/>
  <c r="AL81" i="6"/>
  <c r="AL87" i="6"/>
  <c r="AL94" i="6"/>
  <c r="AL101" i="6"/>
  <c r="AL107" i="6"/>
  <c r="P16" i="37"/>
  <c r="P71" i="12"/>
  <c r="P73" i="12" s="1"/>
  <c r="P63" i="12"/>
  <c r="P65" i="12" s="1"/>
  <c r="AM4" i="40"/>
  <c r="AM4" i="4"/>
  <c r="AM4" i="37"/>
  <c r="AM4" i="34"/>
  <c r="AM4" i="31"/>
  <c r="AM74" i="20"/>
  <c r="AM4" i="28"/>
  <c r="AM4" i="22"/>
  <c r="AM4" i="21"/>
  <c r="AM10" i="21"/>
  <c r="AM32" i="20"/>
  <c r="AM4" i="20"/>
  <c r="AM28" i="19"/>
  <c r="AM4" i="19"/>
  <c r="AM10" i="18"/>
  <c r="AM4" i="17"/>
  <c r="AM4" i="18"/>
  <c r="AM10" i="17"/>
  <c r="AM4" i="15"/>
  <c r="AM10" i="16"/>
  <c r="AM4" i="14"/>
  <c r="AM40" i="15"/>
  <c r="AM28" i="13"/>
  <c r="AM4" i="16"/>
  <c r="AM27" i="15"/>
  <c r="AM82" i="12"/>
  <c r="AM19" i="13"/>
  <c r="AM46" i="12"/>
  <c r="AM4" i="13"/>
  <c r="AM69" i="12"/>
  <c r="AM59" i="12"/>
  <c r="AM18" i="12"/>
  <c r="AM4" i="12"/>
  <c r="AM4" i="11"/>
  <c r="AM19" i="10"/>
  <c r="AM12" i="10"/>
  <c r="AM35" i="9"/>
  <c r="AM4" i="8"/>
  <c r="AM23" i="11"/>
  <c r="AM4" i="10"/>
  <c r="AM10" i="9"/>
  <c r="AM331" i="6"/>
  <c r="AM332" i="6" s="1"/>
  <c r="AM4" i="9"/>
  <c r="AM351" i="6"/>
  <c r="AM352" i="6" s="1"/>
  <c r="AM320" i="6"/>
  <c r="AM336" i="6"/>
  <c r="AM337" i="6" s="1"/>
  <c r="AM312" i="6"/>
  <c r="AM296" i="6"/>
  <c r="AM297" i="6" s="1"/>
  <c r="AM4" i="7"/>
  <c r="AM259" i="6"/>
  <c r="AM346" i="6"/>
  <c r="AM347" i="6" s="1"/>
  <c r="AM275" i="6"/>
  <c r="AM301" i="6"/>
  <c r="AM302" i="6" s="1"/>
  <c r="AM188" i="6"/>
  <c r="AM80" i="6"/>
  <c r="AM140" i="6"/>
  <c r="AM86" i="6"/>
  <c r="AM202" i="6"/>
  <c r="AM93" i="6"/>
  <c r="AM40" i="6"/>
  <c r="AN28" i="6"/>
  <c r="AM126" i="6"/>
  <c r="AM100" i="6"/>
  <c r="AM106" i="6"/>
  <c r="AM66" i="6"/>
  <c r="AM23" i="6"/>
  <c r="AM24" i="6" s="1"/>
  <c r="AM60" i="6"/>
  <c r="AM4" i="6"/>
  <c r="AM33" i="6"/>
  <c r="AM11" i="6"/>
  <c r="AM12" i="6" s="1"/>
  <c r="AM73" i="6"/>
  <c r="AM53" i="6"/>
  <c r="AM46" i="6"/>
  <c r="AM35" i="10"/>
  <c r="AL14" i="37"/>
  <c r="AL76" i="12"/>
  <c r="AL77" i="12" s="1"/>
  <c r="AL64" i="12"/>
  <c r="AL72" i="12"/>
  <c r="O9" i="51" l="1"/>
  <c r="P20" i="49"/>
  <c r="I12" i="51"/>
  <c r="J21" i="49"/>
  <c r="I14" i="51"/>
  <c r="J23" i="49"/>
  <c r="Q28" i="10"/>
  <c r="O45" i="16"/>
  <c r="O46" i="16" s="1"/>
  <c r="O41" i="16"/>
  <c r="O17" i="28" s="1"/>
  <c r="O32" i="16"/>
  <c r="AJ49" i="15"/>
  <c r="AJ34" i="15"/>
  <c r="AJ12" i="14"/>
  <c r="AJ27" i="14"/>
  <c r="AJ9" i="28" s="1"/>
  <c r="AD5" i="51" s="1"/>
  <c r="AJ19" i="37"/>
  <c r="AK83" i="12"/>
  <c r="AK85" i="12" s="1"/>
  <c r="P21" i="19"/>
  <c r="P43" i="15"/>
  <c r="P45" i="15" s="1"/>
  <c r="P21" i="15"/>
  <c r="R22" i="15" s="1"/>
  <c r="O34" i="17"/>
  <c r="O35" i="17" s="1"/>
  <c r="O13" i="17" s="1"/>
  <c r="O15" i="17" s="1"/>
  <c r="O48" i="17"/>
  <c r="O23" i="34" s="1"/>
  <c r="I62" i="51" s="1"/>
  <c r="AM14" i="37"/>
  <c r="AM72" i="12"/>
  <c r="AM76" i="12"/>
  <c r="AM77" i="12" s="1"/>
  <c r="AM64" i="12"/>
  <c r="AL18" i="37"/>
  <c r="AL23" i="13"/>
  <c r="AL84" i="12"/>
  <c r="AL31" i="13"/>
  <c r="AL62" i="12"/>
  <c r="AM59" i="20"/>
  <c r="AM53" i="20"/>
  <c r="AM54" i="20" s="1"/>
  <c r="AM58" i="20" s="1"/>
  <c r="AM242" i="6"/>
  <c r="AM290" i="6"/>
  <c r="AM291" i="6" s="1"/>
  <c r="AM283" i="6"/>
  <c r="AM250" i="6"/>
  <c r="AM234" i="6"/>
  <c r="AM183" i="6"/>
  <c r="AM121" i="6"/>
  <c r="AM18" i="6"/>
  <c r="AM19" i="6" s="1"/>
  <c r="AM81" i="6"/>
  <c r="AM87" i="6"/>
  <c r="AM74" i="6"/>
  <c r="P15" i="37"/>
  <c r="K28" i="49" s="1"/>
  <c r="Q60" i="12"/>
  <c r="AL40" i="12"/>
  <c r="AL32" i="12"/>
  <c r="AL13" i="10"/>
  <c r="AL14" i="10" s="1"/>
  <c r="AN4" i="40"/>
  <c r="AN4" i="4"/>
  <c r="AN4" i="37"/>
  <c r="AN4" i="34"/>
  <c r="AN4" i="31"/>
  <c r="AN4" i="28"/>
  <c r="AN4" i="21"/>
  <c r="AN32" i="20"/>
  <c r="AN10" i="21"/>
  <c r="AN4" i="22"/>
  <c r="AN74" i="20"/>
  <c r="AN4" i="20"/>
  <c r="AN28" i="19"/>
  <c r="AN4" i="19"/>
  <c r="AN10" i="18"/>
  <c r="AN4" i="18"/>
  <c r="AN4" i="17"/>
  <c r="AN40" i="15"/>
  <c r="AN10" i="17"/>
  <c r="AN27" i="15"/>
  <c r="AN4" i="15"/>
  <c r="AN4" i="16"/>
  <c r="AN10" i="16"/>
  <c r="AN4" i="14"/>
  <c r="AN82" i="12"/>
  <c r="AN19" i="13"/>
  <c r="AN46" i="12"/>
  <c r="AN4" i="13"/>
  <c r="AN69" i="12"/>
  <c r="AN59" i="12"/>
  <c r="AN28" i="13"/>
  <c r="AN23" i="11"/>
  <c r="AN18" i="12"/>
  <c r="AN12" i="10"/>
  <c r="AN4" i="10"/>
  <c r="AN4" i="12"/>
  <c r="AN19" i="10"/>
  <c r="AN4" i="11"/>
  <c r="AN346" i="6"/>
  <c r="AN347" i="6" s="1"/>
  <c r="AN331" i="6"/>
  <c r="AN332" i="6" s="1"/>
  <c r="AN10" i="9"/>
  <c r="AN336" i="6"/>
  <c r="AN337" i="6" s="1"/>
  <c r="AN312" i="6"/>
  <c r="AN296" i="6"/>
  <c r="AN297" i="6" s="1"/>
  <c r="AN4" i="7"/>
  <c r="AN259" i="6"/>
  <c r="AN275" i="6"/>
  <c r="AN35" i="9"/>
  <c r="AN4" i="8"/>
  <c r="AN301" i="6"/>
  <c r="AN302" i="6" s="1"/>
  <c r="AN4" i="9"/>
  <c r="AN351" i="6"/>
  <c r="AN352" i="6" s="1"/>
  <c r="AN320" i="6"/>
  <c r="AN188" i="6"/>
  <c r="AN80" i="6"/>
  <c r="AN140" i="6"/>
  <c r="AN86" i="6"/>
  <c r="AN202" i="6"/>
  <c r="AN93" i="6"/>
  <c r="AN126" i="6"/>
  <c r="AN100" i="6"/>
  <c r="AN46" i="6"/>
  <c r="AN106" i="6"/>
  <c r="AN73" i="6"/>
  <c r="AN60" i="6"/>
  <c r="AN4" i="6"/>
  <c r="AN33" i="6"/>
  <c r="AN11" i="6"/>
  <c r="AN12" i="6" s="1"/>
  <c r="AN53" i="6"/>
  <c r="AO28" i="6"/>
  <c r="AN66" i="6"/>
  <c r="AN40" i="6"/>
  <c r="AN23" i="6"/>
  <c r="AN24" i="6" s="1"/>
  <c r="AN35" i="10"/>
  <c r="AM47" i="6"/>
  <c r="AM41" i="6"/>
  <c r="AM34" i="6"/>
  <c r="AM94" i="6"/>
  <c r="AM101" i="6"/>
  <c r="AM107" i="6"/>
  <c r="AK61" i="6"/>
  <c r="AK54" i="6"/>
  <c r="AK67" i="6"/>
  <c r="U34" i="13"/>
  <c r="U9" i="31" s="1"/>
  <c r="O24" i="51" s="1"/>
  <c r="V29" i="13"/>
  <c r="AL2" i="40"/>
  <c r="AL2" i="4"/>
  <c r="AL2" i="37"/>
  <c r="AL2" i="34"/>
  <c r="AL2" i="31"/>
  <c r="AL2" i="28"/>
  <c r="AL60" i="20"/>
  <c r="AL2" i="21"/>
  <c r="AL2" i="22"/>
  <c r="AL2" i="20"/>
  <c r="AL2" i="19"/>
  <c r="AL2" i="18"/>
  <c r="AL2" i="16"/>
  <c r="AL2" i="17"/>
  <c r="AL2" i="15"/>
  <c r="AL2" i="13"/>
  <c r="AL2" i="14"/>
  <c r="AL2" i="12"/>
  <c r="AL2" i="11"/>
  <c r="AL2" i="10"/>
  <c r="AL2" i="9"/>
  <c r="AL2" i="7"/>
  <c r="AL2" i="8"/>
  <c r="AL233" i="6"/>
  <c r="AL235" i="6" s="1"/>
  <c r="AL21" i="17" s="1"/>
  <c r="AL319" i="6"/>
  <c r="AL321" i="6" s="1"/>
  <c r="AL313" i="6"/>
  <c r="AM314" i="6" s="1"/>
  <c r="AL241" i="6"/>
  <c r="AL243" i="6" s="1"/>
  <c r="AL20" i="16" s="1"/>
  <c r="AL176" i="6"/>
  <c r="AL177" i="6" s="1"/>
  <c r="AL282" i="6"/>
  <c r="AL284" i="6" s="1"/>
  <c r="AL276" i="6" s="1"/>
  <c r="AL277" i="6" s="1"/>
  <c r="AL270" i="6" s="1"/>
  <c r="AL249" i="6"/>
  <c r="AL251" i="6" s="1"/>
  <c r="AL21" i="18" s="1"/>
  <c r="AL209" i="6"/>
  <c r="AL147" i="6"/>
  <c r="AL182" i="6"/>
  <c r="AL184" i="6" s="1"/>
  <c r="AL189" i="6" s="1"/>
  <c r="AL190" i="6" s="1"/>
  <c r="AL194" i="6" s="1"/>
  <c r="AL120" i="6"/>
  <c r="AL122" i="6" s="1"/>
  <c r="AL127" i="6" s="1"/>
  <c r="AL128" i="6" s="1"/>
  <c r="AL132" i="6" s="1"/>
  <c r="AL114" i="6"/>
  <c r="AL115" i="6" s="1"/>
  <c r="AL92" i="6"/>
  <c r="AL52" i="6"/>
  <c r="AL32" i="6"/>
  <c r="AL72" i="6"/>
  <c r="AL2" i="6"/>
  <c r="AL61" i="20"/>
  <c r="AL67" i="20" s="1"/>
  <c r="O48" i="18"/>
  <c r="O25" i="34" s="1"/>
  <c r="I64" i="51" s="1"/>
  <c r="O34" i="18"/>
  <c r="O35" i="18" s="1"/>
  <c r="O13" i="18" s="1"/>
  <c r="O15" i="18" s="1"/>
  <c r="AK8" i="37"/>
  <c r="AK16" i="12"/>
  <c r="AK34" i="10"/>
  <c r="AK21" i="10"/>
  <c r="AK41" i="10"/>
  <c r="AK43" i="10" s="1"/>
  <c r="AK25" i="14" s="1"/>
  <c r="AK26" i="14" s="1"/>
  <c r="AK224" i="6"/>
  <c r="AK203" i="6"/>
  <c r="P17" i="37"/>
  <c r="K29" i="49" s="1"/>
  <c r="Q70" i="12"/>
  <c r="P17" i="11"/>
  <c r="P18" i="11" s="1"/>
  <c r="AM9" i="37"/>
  <c r="AM17" i="12"/>
  <c r="AM42" i="10"/>
  <c r="AM22" i="10"/>
  <c r="AM3" i="4"/>
  <c r="AM3" i="40"/>
  <c r="AM3" i="37"/>
  <c r="AM3" i="34"/>
  <c r="AM3" i="28"/>
  <c r="AM3" i="31"/>
  <c r="AM3" i="22"/>
  <c r="AM3" i="21"/>
  <c r="AM3" i="20"/>
  <c r="AM3" i="19"/>
  <c r="AM3" i="18"/>
  <c r="AM3" i="17"/>
  <c r="AM3" i="15"/>
  <c r="AM3" i="16"/>
  <c r="AM3" i="14"/>
  <c r="AM3" i="13"/>
  <c r="AM3" i="12"/>
  <c r="AM3" i="8"/>
  <c r="AM3" i="11"/>
  <c r="AM3" i="10"/>
  <c r="AM3" i="9"/>
  <c r="AM3" i="7"/>
  <c r="AM79" i="6"/>
  <c r="AM99" i="6"/>
  <c r="AM59" i="6"/>
  <c r="AM39" i="6"/>
  <c r="AM3" i="6"/>
  <c r="AK141" i="6"/>
  <c r="AK162" i="6"/>
  <c r="AK26" i="31"/>
  <c r="AE41" i="51" s="1"/>
  <c r="AL11" i="21"/>
  <c r="AL13" i="21" s="1"/>
  <c r="AK29" i="9"/>
  <c r="I13" i="51" l="1"/>
  <c r="J22" i="49"/>
  <c r="R8" i="34"/>
  <c r="L47" i="51" s="1"/>
  <c r="R44" i="15"/>
  <c r="O18" i="31"/>
  <c r="P11" i="18"/>
  <c r="AO4" i="4"/>
  <c r="AO4" i="40"/>
  <c r="AO4" i="37"/>
  <c r="AO4" i="34"/>
  <c r="AO4" i="31"/>
  <c r="AO4" i="22"/>
  <c r="AO4" i="28"/>
  <c r="AO4" i="21"/>
  <c r="AO10" i="21"/>
  <c r="AO74" i="20"/>
  <c r="AO4" i="20"/>
  <c r="AO32" i="20"/>
  <c r="AO4" i="19"/>
  <c r="AO28" i="19"/>
  <c r="AO4" i="17"/>
  <c r="AO4" i="18"/>
  <c r="AO10" i="17"/>
  <c r="AO10" i="18"/>
  <c r="AO40" i="15"/>
  <c r="AO4" i="15"/>
  <c r="AO4" i="16"/>
  <c r="AO19" i="13"/>
  <c r="AO4" i="13"/>
  <c r="AO10" i="16"/>
  <c r="AO27" i="15"/>
  <c r="AO4" i="14"/>
  <c r="AO69" i="12"/>
  <c r="AO59" i="12"/>
  <c r="AO28" i="13"/>
  <c r="AO82" i="12"/>
  <c r="AO46" i="12"/>
  <c r="AO4" i="12"/>
  <c r="AO4" i="11"/>
  <c r="AO18" i="12"/>
  <c r="AO35" i="9"/>
  <c r="AO12" i="10"/>
  <c r="AO23" i="11"/>
  <c r="AO4" i="10"/>
  <c r="AO10" i="9"/>
  <c r="AO19" i="10"/>
  <c r="AO336" i="6"/>
  <c r="AO337" i="6" s="1"/>
  <c r="AO312" i="6"/>
  <c r="AO296" i="6"/>
  <c r="AO297" i="6" s="1"/>
  <c r="AO4" i="7"/>
  <c r="AO259" i="6"/>
  <c r="AO275" i="6"/>
  <c r="AO4" i="8"/>
  <c r="AO346" i="6"/>
  <c r="AO347" i="6" s="1"/>
  <c r="AO301" i="6"/>
  <c r="AO302" i="6" s="1"/>
  <c r="AO4" i="9"/>
  <c r="AO351" i="6"/>
  <c r="AO352" i="6" s="1"/>
  <c r="AO320" i="6"/>
  <c r="AO331" i="6"/>
  <c r="AO332" i="6" s="1"/>
  <c r="AO202" i="6"/>
  <c r="AO140" i="6"/>
  <c r="AO86" i="6"/>
  <c r="AO93" i="6"/>
  <c r="AO126" i="6"/>
  <c r="AO100" i="6"/>
  <c r="AO106" i="6"/>
  <c r="AO53" i="6"/>
  <c r="AO23" i="6"/>
  <c r="AO24" i="6" s="1"/>
  <c r="AO188" i="6"/>
  <c r="AO80" i="6"/>
  <c r="AO4" i="6"/>
  <c r="AO33" i="6"/>
  <c r="AO73" i="6"/>
  <c r="AP28" i="6"/>
  <c r="AO66" i="6"/>
  <c r="AO46" i="6"/>
  <c r="AO40" i="6"/>
  <c r="AO60" i="6"/>
  <c r="AO11" i="6"/>
  <c r="AO12" i="6" s="1"/>
  <c r="AO35" i="10"/>
  <c r="AL8" i="37"/>
  <c r="AL16" i="12"/>
  <c r="AL34" i="10"/>
  <c r="AL21" i="10"/>
  <c r="AL41" i="10"/>
  <c r="AL43" i="10" s="1"/>
  <c r="AL25" i="14" s="1"/>
  <c r="AL26" i="14" s="1"/>
  <c r="AK19" i="37"/>
  <c r="AL83" i="12"/>
  <c r="AL85" i="12" s="1"/>
  <c r="AL67" i="6"/>
  <c r="AL54" i="6"/>
  <c r="AL61" i="6"/>
  <c r="AL141" i="6"/>
  <c r="AL162" i="6"/>
  <c r="AN59" i="20"/>
  <c r="AN53" i="20"/>
  <c r="AN54" i="20" s="1"/>
  <c r="AN58" i="20" s="1"/>
  <c r="AN242" i="6"/>
  <c r="AN290" i="6"/>
  <c r="AN291" i="6" s="1"/>
  <c r="AN283" i="6"/>
  <c r="AN250" i="6"/>
  <c r="AN234" i="6"/>
  <c r="AN121" i="6"/>
  <c r="AN183" i="6"/>
  <c r="AN18" i="6"/>
  <c r="AN19" i="6" s="1"/>
  <c r="AN94" i="6"/>
  <c r="AN101" i="6"/>
  <c r="AN107" i="6"/>
  <c r="AL26" i="31"/>
  <c r="AF41" i="51" s="1"/>
  <c r="AM11" i="21"/>
  <c r="AM13" i="21" s="1"/>
  <c r="AL29" i="9"/>
  <c r="AK34" i="15"/>
  <c r="AK12" i="14"/>
  <c r="AK27" i="14"/>
  <c r="AK9" i="28" s="1"/>
  <c r="AE5" i="51" s="1"/>
  <c r="AK49" i="15"/>
  <c r="AN9" i="37"/>
  <c r="AN17" i="12"/>
  <c r="AN22" i="10"/>
  <c r="AN42" i="10"/>
  <c r="P10" i="31"/>
  <c r="J25" i="51" s="1"/>
  <c r="Q41" i="15"/>
  <c r="AN47" i="6"/>
  <c r="AN41" i="6"/>
  <c r="AN34" i="6"/>
  <c r="AN87" i="6"/>
  <c r="AN74" i="6"/>
  <c r="AN81" i="6"/>
  <c r="AN3" i="4"/>
  <c r="AN3" i="40"/>
  <c r="AN3" i="37"/>
  <c r="AN3" i="34"/>
  <c r="AN3" i="31"/>
  <c r="AN3" i="28"/>
  <c r="AN3" i="22"/>
  <c r="AN3" i="21"/>
  <c r="AN3" i="19"/>
  <c r="AN3" i="18"/>
  <c r="AN3" i="20"/>
  <c r="AN3" i="17"/>
  <c r="AN3" i="16"/>
  <c r="AN3" i="14"/>
  <c r="AN3" i="15"/>
  <c r="AN3" i="13"/>
  <c r="AN3" i="12"/>
  <c r="AN3" i="11"/>
  <c r="AN3" i="10"/>
  <c r="AN3" i="8"/>
  <c r="AN3" i="7"/>
  <c r="AN3" i="9"/>
  <c r="AN79" i="6"/>
  <c r="AN39" i="6"/>
  <c r="AN99" i="6"/>
  <c r="AN59" i="6"/>
  <c r="AN3" i="6"/>
  <c r="AN14" i="37"/>
  <c r="AN64" i="12"/>
  <c r="AN72" i="12"/>
  <c r="AN76" i="12"/>
  <c r="AN77" i="12" s="1"/>
  <c r="O16" i="31"/>
  <c r="P11" i="17"/>
  <c r="Q27" i="10"/>
  <c r="Q29" i="10" s="1"/>
  <c r="AM40" i="12"/>
  <c r="AM32" i="12"/>
  <c r="AM13" i="10"/>
  <c r="AM14" i="10" s="1"/>
  <c r="AM18" i="37"/>
  <c r="AM23" i="13"/>
  <c r="AM84" i="12"/>
  <c r="AM31" i="13"/>
  <c r="AM62" i="12"/>
  <c r="O47" i="16"/>
  <c r="O24" i="34" s="1"/>
  <c r="I63" i="51" s="1"/>
  <c r="O33" i="16"/>
  <c r="O34" i="16" s="1"/>
  <c r="O13" i="16" s="1"/>
  <c r="O15" i="16" s="1"/>
  <c r="AM2" i="40"/>
  <c r="AM2" i="4"/>
  <c r="AM2" i="37"/>
  <c r="AM2" i="34"/>
  <c r="AM2" i="31"/>
  <c r="AM2" i="28"/>
  <c r="AM2" i="22"/>
  <c r="AM60" i="20"/>
  <c r="AM61" i="20" s="1"/>
  <c r="AM67" i="20" s="1"/>
  <c r="AM2" i="21"/>
  <c r="AM2" i="20"/>
  <c r="AM2" i="19"/>
  <c r="AM2" i="18"/>
  <c r="AM2" i="17"/>
  <c r="AM2" i="14"/>
  <c r="AM2" i="15"/>
  <c r="AM2" i="16"/>
  <c r="AM2" i="13"/>
  <c r="AM2" i="12"/>
  <c r="AM2" i="11"/>
  <c r="AM2" i="10"/>
  <c r="AM2" i="8"/>
  <c r="AM319" i="6"/>
  <c r="AM321" i="6" s="1"/>
  <c r="AM313" i="6"/>
  <c r="AN314" i="6" s="1"/>
  <c r="AM241" i="6"/>
  <c r="AM243" i="6" s="1"/>
  <c r="AM20" i="16" s="1"/>
  <c r="AM2" i="9"/>
  <c r="AM282" i="6"/>
  <c r="AM284" i="6" s="1"/>
  <c r="AM276" i="6" s="1"/>
  <c r="AM277" i="6" s="1"/>
  <c r="AM270" i="6" s="1"/>
  <c r="AM249" i="6"/>
  <c r="AM251" i="6" s="1"/>
  <c r="AM21" i="18" s="1"/>
  <c r="AM2" i="7"/>
  <c r="AM233" i="6"/>
  <c r="AM235" i="6" s="1"/>
  <c r="AM21" i="17" s="1"/>
  <c r="AM209" i="6"/>
  <c r="AM147" i="6"/>
  <c r="AM182" i="6"/>
  <c r="AM184" i="6" s="1"/>
  <c r="AM189" i="6" s="1"/>
  <c r="AM190" i="6" s="1"/>
  <c r="AM194" i="6" s="1"/>
  <c r="AM120" i="6"/>
  <c r="AM122" i="6" s="1"/>
  <c r="AM127" i="6" s="1"/>
  <c r="AM128" i="6" s="1"/>
  <c r="AM132" i="6" s="1"/>
  <c r="AM32" i="6"/>
  <c r="AM114" i="6"/>
  <c r="AM115" i="6" s="1"/>
  <c r="AM92" i="6"/>
  <c r="AM176" i="6"/>
  <c r="AM177" i="6" s="1"/>
  <c r="AM72" i="6"/>
  <c r="AM52" i="6"/>
  <c r="AM2" i="6"/>
  <c r="P8" i="28"/>
  <c r="P19" i="16"/>
  <c r="P21" i="16" s="1"/>
  <c r="P26" i="11"/>
  <c r="P27" i="11" s="1"/>
  <c r="AL224" i="6"/>
  <c r="AL203" i="6"/>
  <c r="I33" i="51" l="1"/>
  <c r="J10" i="49"/>
  <c r="I31" i="51"/>
  <c r="J9" i="49"/>
  <c r="J4" i="51"/>
  <c r="K12" i="49"/>
  <c r="P19" i="34"/>
  <c r="J58" i="51" s="1"/>
  <c r="P26" i="16"/>
  <c r="R27" i="16" s="1"/>
  <c r="P12" i="16"/>
  <c r="AM141" i="6"/>
  <c r="AM162" i="6"/>
  <c r="AL49" i="15"/>
  <c r="AL34" i="15"/>
  <c r="AL12" i="14"/>
  <c r="AL27" i="14"/>
  <c r="AL9" i="28" s="1"/>
  <c r="AF5" i="51" s="1"/>
  <c r="AP4" i="4"/>
  <c r="AP4" i="40"/>
  <c r="AP4" i="37"/>
  <c r="AP4" i="34"/>
  <c r="AP4" i="31"/>
  <c r="AP4" i="28"/>
  <c r="AP4" i="21"/>
  <c r="AP4" i="22"/>
  <c r="AP10" i="21"/>
  <c r="AP74" i="20"/>
  <c r="AP4" i="20"/>
  <c r="AP28" i="19"/>
  <c r="AP32" i="20"/>
  <c r="AP4" i="19"/>
  <c r="AP4" i="17"/>
  <c r="AP10" i="16"/>
  <c r="AP4" i="18"/>
  <c r="AP10" i="17"/>
  <c r="AP10" i="18"/>
  <c r="AP4" i="16"/>
  <c r="AP40" i="15"/>
  <c r="AP4" i="15"/>
  <c r="AP27" i="15"/>
  <c r="AP19" i="13"/>
  <c r="AP69" i="12"/>
  <c r="AP4" i="13"/>
  <c r="AP59" i="12"/>
  <c r="AP28" i="13"/>
  <c r="AP82" i="12"/>
  <c r="AP4" i="14"/>
  <c r="AP4" i="12"/>
  <c r="AP18" i="12"/>
  <c r="AP46" i="12"/>
  <c r="AP4" i="9"/>
  <c r="AP35" i="9"/>
  <c r="AP12" i="10"/>
  <c r="AP23" i="11"/>
  <c r="AP4" i="11"/>
  <c r="AP4" i="10"/>
  <c r="AP10" i="9"/>
  <c r="AP331" i="6"/>
  <c r="AP332" i="6" s="1"/>
  <c r="AP19" i="10"/>
  <c r="AP336" i="6"/>
  <c r="AP337" i="6" s="1"/>
  <c r="AP296" i="6"/>
  <c r="AP297" i="6" s="1"/>
  <c r="AP4" i="7"/>
  <c r="AP259" i="6"/>
  <c r="AP275" i="6"/>
  <c r="AP4" i="8"/>
  <c r="AP346" i="6"/>
  <c r="AP347" i="6" s="1"/>
  <c r="AP301" i="6"/>
  <c r="AP302" i="6" s="1"/>
  <c r="AP351" i="6"/>
  <c r="AP352" i="6" s="1"/>
  <c r="AP320" i="6"/>
  <c r="AP312" i="6"/>
  <c r="AP93" i="6"/>
  <c r="AP202" i="6"/>
  <c r="AP126" i="6"/>
  <c r="AP100" i="6"/>
  <c r="AP106" i="6"/>
  <c r="AP60" i="6"/>
  <c r="AP188" i="6"/>
  <c r="AP80" i="6"/>
  <c r="AP140" i="6"/>
  <c r="AP86" i="6"/>
  <c r="AP33" i="6"/>
  <c r="AP11" i="6"/>
  <c r="AP12" i="6" s="1"/>
  <c r="AP73" i="6"/>
  <c r="AP53" i="6"/>
  <c r="AQ28" i="6"/>
  <c r="AP66" i="6"/>
  <c r="AP46" i="6"/>
  <c r="AP40" i="6"/>
  <c r="AP23" i="6"/>
  <c r="AP24" i="6" s="1"/>
  <c r="AP4" i="6"/>
  <c r="AP35" i="10"/>
  <c r="AO3" i="4"/>
  <c r="AO3" i="40"/>
  <c r="AO3" i="37"/>
  <c r="AO3" i="34"/>
  <c r="AO3" i="31"/>
  <c r="AO3" i="28"/>
  <c r="AO3" i="22"/>
  <c r="AO3" i="20"/>
  <c r="AO3" i="21"/>
  <c r="AO3" i="19"/>
  <c r="AO3" i="18"/>
  <c r="AO3" i="17"/>
  <c r="AO3" i="16"/>
  <c r="AO3" i="14"/>
  <c r="AO3" i="15"/>
  <c r="AO3" i="13"/>
  <c r="AO3" i="11"/>
  <c r="AO3" i="12"/>
  <c r="AO3" i="10"/>
  <c r="AO3" i="9"/>
  <c r="AO3" i="7"/>
  <c r="AO3" i="8"/>
  <c r="AO79" i="6"/>
  <c r="AO99" i="6"/>
  <c r="AO3" i="6"/>
  <c r="AO39" i="6"/>
  <c r="AO59" i="6"/>
  <c r="AO9" i="37"/>
  <c r="AO17" i="12"/>
  <c r="AO22" i="10"/>
  <c r="AO42" i="10"/>
  <c r="AO94" i="6"/>
  <c r="AO101" i="6"/>
  <c r="AO107" i="6"/>
  <c r="AN18" i="37"/>
  <c r="AN23" i="13"/>
  <c r="AN84" i="12"/>
  <c r="AN31" i="13"/>
  <c r="AN62" i="12"/>
  <c r="AN2" i="40"/>
  <c r="AN2" i="4"/>
  <c r="AN2" i="37"/>
  <c r="AN2" i="34"/>
  <c r="AN2" i="28"/>
  <c r="AN2" i="31"/>
  <c r="AN2" i="22"/>
  <c r="AN60" i="20"/>
  <c r="AN2" i="21"/>
  <c r="AN2" i="20"/>
  <c r="AN2" i="19"/>
  <c r="AN2" i="18"/>
  <c r="AN2" i="17"/>
  <c r="AN2" i="15"/>
  <c r="AN2" i="16"/>
  <c r="AN2" i="14"/>
  <c r="AN2" i="13"/>
  <c r="AN2" i="11"/>
  <c r="AN2" i="10"/>
  <c r="AN2" i="12"/>
  <c r="AN319" i="6"/>
  <c r="AN321" i="6" s="1"/>
  <c r="AN313" i="6"/>
  <c r="AO314" i="6" s="1"/>
  <c r="AN241" i="6"/>
  <c r="AN243" i="6" s="1"/>
  <c r="AN20" i="16" s="1"/>
  <c r="AN2" i="9"/>
  <c r="AN2" i="8"/>
  <c r="AN282" i="6"/>
  <c r="AN284" i="6" s="1"/>
  <c r="AN276" i="6" s="1"/>
  <c r="AN277" i="6" s="1"/>
  <c r="AN270" i="6" s="1"/>
  <c r="AN249" i="6"/>
  <c r="AN251" i="6" s="1"/>
  <c r="AN21" i="18" s="1"/>
  <c r="AN2" i="7"/>
  <c r="AN182" i="6"/>
  <c r="AN184" i="6" s="1"/>
  <c r="AN189" i="6" s="1"/>
  <c r="AN190" i="6" s="1"/>
  <c r="AN194" i="6" s="1"/>
  <c r="AN120" i="6"/>
  <c r="AN122" i="6" s="1"/>
  <c r="AN127" i="6" s="1"/>
  <c r="AN128" i="6" s="1"/>
  <c r="AN132" i="6" s="1"/>
  <c r="AN114" i="6"/>
  <c r="AN115" i="6" s="1"/>
  <c r="AN92" i="6"/>
  <c r="AN233" i="6"/>
  <c r="AN235" i="6" s="1"/>
  <c r="AN21" i="17" s="1"/>
  <c r="AN176" i="6"/>
  <c r="AN177" i="6" s="1"/>
  <c r="AN209" i="6"/>
  <c r="AN147" i="6"/>
  <c r="AN32" i="6"/>
  <c r="AN72" i="6"/>
  <c r="AN52" i="6"/>
  <c r="AN2" i="6"/>
  <c r="AL19" i="37"/>
  <c r="AM83" i="12"/>
  <c r="AM85" i="12" s="1"/>
  <c r="AO14" i="37"/>
  <c r="AO76" i="12"/>
  <c r="AO77" i="12" s="1"/>
  <c r="AO64" i="12"/>
  <c r="AO72" i="12"/>
  <c r="Q53" i="12"/>
  <c r="Q54" i="12" s="1"/>
  <c r="Q11" i="11"/>
  <c r="Q12" i="11" s="1"/>
  <c r="Q23" i="10"/>
  <c r="Q24" i="10" s="1"/>
  <c r="AM26" i="31"/>
  <c r="AG41" i="51" s="1"/>
  <c r="AN11" i="21"/>
  <c r="AN13" i="21" s="1"/>
  <c r="AM29" i="9"/>
  <c r="AO53" i="20"/>
  <c r="AO54" i="20" s="1"/>
  <c r="AO58" i="20" s="1"/>
  <c r="AO59" i="20"/>
  <c r="AO290" i="6"/>
  <c r="AO291" i="6" s="1"/>
  <c r="AO283" i="6"/>
  <c r="AO250" i="6"/>
  <c r="AO234" i="6"/>
  <c r="AO242" i="6"/>
  <c r="AO183" i="6"/>
  <c r="AO121" i="6"/>
  <c r="AO18" i="6"/>
  <c r="AO19" i="6" s="1"/>
  <c r="AO34" i="6"/>
  <c r="AO47" i="6"/>
  <c r="AO41" i="6"/>
  <c r="AO74" i="6"/>
  <c r="AO81" i="6"/>
  <c r="AO87" i="6"/>
  <c r="P14" i="31"/>
  <c r="J29" i="51" s="1"/>
  <c r="Q24" i="11"/>
  <c r="AN61" i="20"/>
  <c r="AN67" i="20" s="1"/>
  <c r="O17" i="31"/>
  <c r="P11" i="16"/>
  <c r="AM54" i="6"/>
  <c r="AM67" i="6"/>
  <c r="AM61" i="6"/>
  <c r="AM8" i="37"/>
  <c r="AM16" i="12"/>
  <c r="AM34" i="10"/>
  <c r="AM21" i="10"/>
  <c r="AM41" i="10"/>
  <c r="AM43" i="10" s="1"/>
  <c r="AM25" i="14" s="1"/>
  <c r="AM26" i="14" s="1"/>
  <c r="AN40" i="12"/>
  <c r="AN32" i="12"/>
  <c r="AN13" i="10"/>
  <c r="AN14" i="10" s="1"/>
  <c r="P40" i="18"/>
  <c r="P41" i="18" s="1"/>
  <c r="P27" i="18"/>
  <c r="P28" i="18" s="1"/>
  <c r="P40" i="17"/>
  <c r="P41" i="17" s="1"/>
  <c r="AM203" i="6"/>
  <c r="AM224" i="6"/>
  <c r="I32" i="51" l="1"/>
  <c r="J8" i="49"/>
  <c r="P33" i="17"/>
  <c r="P46" i="17"/>
  <c r="P47" i="17" s="1"/>
  <c r="P42" i="17"/>
  <c r="AN54" i="6"/>
  <c r="AN67" i="6"/>
  <c r="AN61" i="6"/>
  <c r="AP3" i="40"/>
  <c r="AP3" i="4"/>
  <c r="AP3" i="37"/>
  <c r="AP3" i="34"/>
  <c r="AP3" i="31"/>
  <c r="AP3" i="22"/>
  <c r="AP3" i="28"/>
  <c r="AP3" i="21"/>
  <c r="AP3" i="20"/>
  <c r="AP3" i="19"/>
  <c r="AP3" i="18"/>
  <c r="AP3" i="16"/>
  <c r="AP3" i="17"/>
  <c r="AP3" i="15"/>
  <c r="AP3" i="13"/>
  <c r="AP3" i="14"/>
  <c r="AP3" i="12"/>
  <c r="AP3" i="11"/>
  <c r="AP3" i="10"/>
  <c r="AP3" i="9"/>
  <c r="AP3" i="7"/>
  <c r="AP3" i="8"/>
  <c r="AP99" i="6"/>
  <c r="AP79" i="6"/>
  <c r="AP59" i="6"/>
  <c r="AP3" i="6"/>
  <c r="AP39" i="6"/>
  <c r="AP14" i="37"/>
  <c r="AP64" i="12"/>
  <c r="AP72" i="12"/>
  <c r="AP76" i="12"/>
  <c r="AP77" i="12" s="1"/>
  <c r="P39" i="16"/>
  <c r="P40" i="16" s="1"/>
  <c r="AO18" i="37"/>
  <c r="AO31" i="13"/>
  <c r="AO84" i="12"/>
  <c r="AO23" i="13"/>
  <c r="AO62" i="12"/>
  <c r="AO40" i="12"/>
  <c r="AO32" i="12"/>
  <c r="AO13" i="10"/>
  <c r="AO14" i="10" s="1"/>
  <c r="Q10" i="37"/>
  <c r="L26" i="49" s="1"/>
  <c r="Q24" i="12"/>
  <c r="Q26" i="12" s="1"/>
  <c r="Q31" i="12" s="1"/>
  <c r="R20" i="10"/>
  <c r="AN26" i="31"/>
  <c r="AH41" i="51" s="1"/>
  <c r="AO11" i="21"/>
  <c r="AO13" i="21" s="1"/>
  <c r="AN29" i="9"/>
  <c r="AP53" i="20"/>
  <c r="AP54" i="20" s="1"/>
  <c r="AP58" i="20" s="1"/>
  <c r="AP59" i="20"/>
  <c r="AP283" i="6"/>
  <c r="AP250" i="6"/>
  <c r="AP242" i="6"/>
  <c r="AP290" i="6"/>
  <c r="AP291" i="6" s="1"/>
  <c r="AP234" i="6"/>
  <c r="AP183" i="6"/>
  <c r="AP121" i="6"/>
  <c r="AP18" i="6"/>
  <c r="AP19" i="6" s="1"/>
  <c r="AO2" i="4"/>
  <c r="AO2" i="40"/>
  <c r="AO2" i="37"/>
  <c r="AO2" i="34"/>
  <c r="AO2" i="31"/>
  <c r="AO2" i="28"/>
  <c r="AO2" i="22"/>
  <c r="AO60" i="20"/>
  <c r="AO2" i="21"/>
  <c r="AO2" i="20"/>
  <c r="AO2" i="19"/>
  <c r="AO2" i="18"/>
  <c r="AO2" i="17"/>
  <c r="AO2" i="15"/>
  <c r="AO2" i="13"/>
  <c r="AO2" i="16"/>
  <c r="AO2" i="14"/>
  <c r="AO2" i="12"/>
  <c r="AO2" i="11"/>
  <c r="AO2" i="10"/>
  <c r="AO241" i="6"/>
  <c r="AO243" i="6" s="1"/>
  <c r="AO20" i="16" s="1"/>
  <c r="AO2" i="9"/>
  <c r="AO2" i="8"/>
  <c r="AO282" i="6"/>
  <c r="AO284" i="6" s="1"/>
  <c r="AO276" i="6" s="1"/>
  <c r="AO277" i="6" s="1"/>
  <c r="AO270" i="6" s="1"/>
  <c r="AO249" i="6"/>
  <c r="AO251" i="6" s="1"/>
  <c r="AO21" i="18" s="1"/>
  <c r="AO2" i="7"/>
  <c r="AO233" i="6"/>
  <c r="AO235" i="6" s="1"/>
  <c r="AO21" i="17" s="1"/>
  <c r="AO319" i="6"/>
  <c r="AO321" i="6" s="1"/>
  <c r="AO313" i="6"/>
  <c r="AP314" i="6" s="1"/>
  <c r="AO182" i="6"/>
  <c r="AO184" i="6" s="1"/>
  <c r="AO189" i="6" s="1"/>
  <c r="AO190" i="6" s="1"/>
  <c r="AO194" i="6" s="1"/>
  <c r="AO120" i="6"/>
  <c r="AO122" i="6" s="1"/>
  <c r="AO127" i="6" s="1"/>
  <c r="AO128" i="6" s="1"/>
  <c r="AO132" i="6" s="1"/>
  <c r="AO114" i="6"/>
  <c r="AO115" i="6" s="1"/>
  <c r="AO92" i="6"/>
  <c r="AO176" i="6"/>
  <c r="AO177" i="6" s="1"/>
  <c r="AO209" i="6"/>
  <c r="AO147" i="6"/>
  <c r="AO72" i="6"/>
  <c r="AO32" i="6"/>
  <c r="AO2" i="6"/>
  <c r="AO52" i="6"/>
  <c r="Q16" i="19"/>
  <c r="Q17" i="19" s="1"/>
  <c r="Q42" i="15"/>
  <c r="Q20" i="15"/>
  <c r="Q25" i="11"/>
  <c r="AM19" i="37"/>
  <c r="AN83" i="12"/>
  <c r="AN85" i="12" s="1"/>
  <c r="AN203" i="6"/>
  <c r="AN224" i="6"/>
  <c r="AO61" i="20"/>
  <c r="AO67" i="20" s="1"/>
  <c r="Q16" i="37"/>
  <c r="Q63" i="12"/>
  <c r="Q65" i="12" s="1"/>
  <c r="Q71" i="12"/>
  <c r="Q73" i="12" s="1"/>
  <c r="AQ4" i="4"/>
  <c r="AQ4" i="40"/>
  <c r="AQ4" i="37"/>
  <c r="AQ4" i="34"/>
  <c r="AQ4" i="31"/>
  <c r="AQ4" i="28"/>
  <c r="AQ4" i="22"/>
  <c r="AQ74" i="20"/>
  <c r="AQ10" i="21"/>
  <c r="AQ4" i="21"/>
  <c r="AQ32" i="20"/>
  <c r="AQ4" i="20"/>
  <c r="AQ10" i="18"/>
  <c r="AQ28" i="19"/>
  <c r="AQ4" i="19"/>
  <c r="AQ4" i="18"/>
  <c r="AQ10" i="17"/>
  <c r="AQ4" i="15"/>
  <c r="AQ4" i="17"/>
  <c r="AQ4" i="16"/>
  <c r="AQ27" i="15"/>
  <c r="AQ4" i="14"/>
  <c r="AQ10" i="16"/>
  <c r="AQ40" i="15"/>
  <c r="AQ28" i="13"/>
  <c r="AQ19" i="13"/>
  <c r="AQ4" i="13"/>
  <c r="AQ59" i="12"/>
  <c r="AQ82" i="12"/>
  <c r="AQ69" i="12"/>
  <c r="AQ18" i="12"/>
  <c r="AQ46" i="12"/>
  <c r="AQ4" i="12"/>
  <c r="AQ35" i="9"/>
  <c r="AQ4" i="8"/>
  <c r="AQ12" i="10"/>
  <c r="AQ23" i="11"/>
  <c r="AQ4" i="11"/>
  <c r="AQ4" i="10"/>
  <c r="AQ346" i="6"/>
  <c r="AQ347" i="6" s="1"/>
  <c r="AQ19" i="10"/>
  <c r="AQ4" i="9"/>
  <c r="AQ4" i="7"/>
  <c r="AQ351" i="6"/>
  <c r="AQ352" i="6" s="1"/>
  <c r="AQ10" i="9"/>
  <c r="AQ296" i="6"/>
  <c r="AQ297" i="6" s="1"/>
  <c r="AQ259" i="6"/>
  <c r="AQ275" i="6"/>
  <c r="AQ301" i="6"/>
  <c r="AQ302" i="6" s="1"/>
  <c r="AQ320" i="6"/>
  <c r="AQ331" i="6"/>
  <c r="AQ332" i="6" s="1"/>
  <c r="AQ312" i="6"/>
  <c r="AQ336" i="6"/>
  <c r="AQ337" i="6" s="1"/>
  <c r="AQ188" i="6"/>
  <c r="AQ202" i="6"/>
  <c r="AQ126" i="6"/>
  <c r="AQ100" i="6"/>
  <c r="AQ106" i="6"/>
  <c r="AQ66" i="6"/>
  <c r="AQ80" i="6"/>
  <c r="AQ140" i="6"/>
  <c r="AQ86" i="6"/>
  <c r="AQ93" i="6"/>
  <c r="AQ40" i="6"/>
  <c r="AR28" i="6"/>
  <c r="AQ73" i="6"/>
  <c r="AQ53" i="6"/>
  <c r="AQ46" i="6"/>
  <c r="AQ23" i="6"/>
  <c r="AQ24" i="6" s="1"/>
  <c r="AQ60" i="6"/>
  <c r="AQ4" i="6"/>
  <c r="AQ33" i="6"/>
  <c r="AQ11" i="6"/>
  <c r="AQ12" i="6" s="1"/>
  <c r="AQ35" i="10"/>
  <c r="P33" i="18"/>
  <c r="P46" i="18"/>
  <c r="P47" i="18" s="1"/>
  <c r="P42" i="18"/>
  <c r="AP9" i="37"/>
  <c r="AP17" i="12"/>
  <c r="AP42" i="10"/>
  <c r="AP22" i="10"/>
  <c r="AP101" i="6"/>
  <c r="AP107" i="6"/>
  <c r="AP94" i="6"/>
  <c r="AP74" i="6"/>
  <c r="AP81" i="6"/>
  <c r="AP87" i="6"/>
  <c r="R14" i="16"/>
  <c r="R28" i="16"/>
  <c r="R20" i="34" s="1"/>
  <c r="L59" i="51" s="1"/>
  <c r="AM34" i="15"/>
  <c r="AM12" i="14"/>
  <c r="AM27" i="14"/>
  <c r="AM9" i="28" s="1"/>
  <c r="AG5" i="51" s="1"/>
  <c r="AM49" i="15"/>
  <c r="P14" i="18"/>
  <c r="P29" i="18"/>
  <c r="AN8" i="37"/>
  <c r="AN16" i="12"/>
  <c r="AN34" i="10"/>
  <c r="AN21" i="10"/>
  <c r="AN41" i="10"/>
  <c r="AN43" i="10" s="1"/>
  <c r="AN25" i="14" s="1"/>
  <c r="AN26" i="14" s="1"/>
  <c r="AN141" i="6"/>
  <c r="AN162" i="6"/>
  <c r="AP41" i="6"/>
  <c r="AP47" i="6"/>
  <c r="AP34" i="6"/>
  <c r="AR4" i="4" l="1"/>
  <c r="AR4" i="40"/>
  <c r="AR4" i="37"/>
  <c r="AR4" i="34"/>
  <c r="AR4" i="31"/>
  <c r="AR4" i="28"/>
  <c r="AR4" i="22"/>
  <c r="AR10" i="21"/>
  <c r="AR74" i="20"/>
  <c r="AR4" i="21"/>
  <c r="AR32" i="20"/>
  <c r="AR4" i="20"/>
  <c r="AR28" i="19"/>
  <c r="AR4" i="19"/>
  <c r="AR4" i="18"/>
  <c r="AR10" i="18"/>
  <c r="AR10" i="17"/>
  <c r="AR27" i="15"/>
  <c r="AR4" i="17"/>
  <c r="AR40" i="15"/>
  <c r="AR4" i="15"/>
  <c r="AR4" i="16"/>
  <c r="AR4" i="14"/>
  <c r="AR10" i="16"/>
  <c r="AR4" i="13"/>
  <c r="AR28" i="13"/>
  <c r="AR82" i="12"/>
  <c r="AR19" i="13"/>
  <c r="AR46" i="12"/>
  <c r="AR23" i="11"/>
  <c r="AR69" i="12"/>
  <c r="AR18" i="12"/>
  <c r="AR59" i="12"/>
  <c r="AR4" i="12"/>
  <c r="AR12" i="10"/>
  <c r="AR4" i="11"/>
  <c r="AR4" i="10"/>
  <c r="AR19" i="10"/>
  <c r="AR35" i="9"/>
  <c r="AR4" i="8"/>
  <c r="AR320" i="6"/>
  <c r="AR259" i="6"/>
  <c r="AR4" i="7"/>
  <c r="AR275" i="6"/>
  <c r="AR301" i="6"/>
  <c r="AR302" i="6" s="1"/>
  <c r="AR346" i="6"/>
  <c r="AR347" i="6" s="1"/>
  <c r="AR351" i="6"/>
  <c r="AR352" i="6" s="1"/>
  <c r="AR202" i="6"/>
  <c r="AR4" i="9"/>
  <c r="AR331" i="6"/>
  <c r="AR332" i="6" s="1"/>
  <c r="AR312" i="6"/>
  <c r="AR336" i="6"/>
  <c r="AR337" i="6" s="1"/>
  <c r="AR10" i="9"/>
  <c r="AR296" i="6"/>
  <c r="AR297" i="6" s="1"/>
  <c r="AR106" i="6"/>
  <c r="AR73" i="6"/>
  <c r="AR80" i="6"/>
  <c r="AR188" i="6"/>
  <c r="AR140" i="6"/>
  <c r="AR86" i="6"/>
  <c r="AR93" i="6"/>
  <c r="AR126" i="6"/>
  <c r="AR100" i="6"/>
  <c r="AR46" i="6"/>
  <c r="AS28" i="6"/>
  <c r="AR66" i="6"/>
  <c r="AR23" i="6"/>
  <c r="AR24" i="6" s="1"/>
  <c r="AR40" i="6"/>
  <c r="AR60" i="6"/>
  <c r="AR4" i="6"/>
  <c r="AR33" i="6"/>
  <c r="AR11" i="6"/>
  <c r="AR12" i="6" s="1"/>
  <c r="AR53" i="6"/>
  <c r="AR35" i="10"/>
  <c r="P48" i="18"/>
  <c r="P34" i="18"/>
  <c r="AO26" i="31"/>
  <c r="AI41" i="51" s="1"/>
  <c r="AP11" i="21"/>
  <c r="AP13" i="21" s="1"/>
  <c r="AO29" i="9"/>
  <c r="AN27" i="14"/>
  <c r="AN9" i="28" s="1"/>
  <c r="AH5" i="51" s="1"/>
  <c r="AN49" i="15"/>
  <c r="AN34" i="15"/>
  <c r="AN12" i="14"/>
  <c r="P35" i="18"/>
  <c r="P13" i="18" s="1"/>
  <c r="P15" i="18" s="1"/>
  <c r="AQ14" i="37"/>
  <c r="AQ64" i="12"/>
  <c r="AQ72" i="12"/>
  <c r="AQ76" i="12"/>
  <c r="AQ77" i="12" s="1"/>
  <c r="AO61" i="6"/>
  <c r="AO54" i="6"/>
  <c r="AO67" i="6"/>
  <c r="AP40" i="12"/>
  <c r="AP32" i="12"/>
  <c r="AP13" i="10"/>
  <c r="AP14" i="10" s="1"/>
  <c r="AO8" i="37"/>
  <c r="AO16" i="12"/>
  <c r="AO21" i="10"/>
  <c r="AO41" i="10"/>
  <c r="AO43" i="10" s="1"/>
  <c r="AO25" i="14" s="1"/>
  <c r="AO26" i="14" s="1"/>
  <c r="AO34" i="10"/>
  <c r="AQ59" i="20"/>
  <c r="AQ53" i="20"/>
  <c r="AQ54" i="20" s="1"/>
  <c r="AQ58" i="20" s="1"/>
  <c r="AQ250" i="6"/>
  <c r="AQ242" i="6"/>
  <c r="AQ290" i="6"/>
  <c r="AQ291" i="6" s="1"/>
  <c r="AQ283" i="6"/>
  <c r="AQ234" i="6"/>
  <c r="AQ183" i="6"/>
  <c r="AQ121" i="6"/>
  <c r="AQ18" i="6"/>
  <c r="AQ19" i="6" s="1"/>
  <c r="P18" i="28"/>
  <c r="AQ47" i="6"/>
  <c r="AQ41" i="6"/>
  <c r="AQ34" i="6"/>
  <c r="AQ3" i="40"/>
  <c r="AQ3" i="4"/>
  <c r="AQ3" i="37"/>
  <c r="AQ3" i="34"/>
  <c r="AQ3" i="31"/>
  <c r="AQ3" i="28"/>
  <c r="AQ3" i="22"/>
  <c r="AQ3" i="21"/>
  <c r="AQ3" i="20"/>
  <c r="AQ3" i="19"/>
  <c r="AQ3" i="18"/>
  <c r="AQ3" i="17"/>
  <c r="AQ3" i="14"/>
  <c r="AQ3" i="15"/>
  <c r="AQ3" i="16"/>
  <c r="AQ3" i="13"/>
  <c r="AQ3" i="12"/>
  <c r="AQ3" i="11"/>
  <c r="AQ3" i="10"/>
  <c r="AQ3" i="8"/>
  <c r="AQ3" i="9"/>
  <c r="AQ3" i="7"/>
  <c r="AQ99" i="6"/>
  <c r="AQ59" i="6"/>
  <c r="AQ79" i="6"/>
  <c r="AQ3" i="6"/>
  <c r="AQ39" i="6"/>
  <c r="AQ74" i="6"/>
  <c r="AQ81" i="6"/>
  <c r="AQ87" i="6"/>
  <c r="AO203" i="6"/>
  <c r="AO224" i="6"/>
  <c r="P41" i="16"/>
  <c r="P32" i="16"/>
  <c r="P45" i="16"/>
  <c r="P46" i="16" s="1"/>
  <c r="P22" i="34"/>
  <c r="J61" i="51" s="1"/>
  <c r="AQ107" i="6"/>
  <c r="AQ94" i="6"/>
  <c r="AQ101" i="6"/>
  <c r="Q21" i="19"/>
  <c r="Q21" i="15"/>
  <c r="S22" i="15" s="1"/>
  <c r="Q43" i="15"/>
  <c r="Q45" i="15" s="1"/>
  <c r="P16" i="28"/>
  <c r="Q17" i="37"/>
  <c r="L29" i="49" s="1"/>
  <c r="R70" i="12"/>
  <c r="Q17" i="11"/>
  <c r="Q18" i="11" s="1"/>
  <c r="AO162" i="6"/>
  <c r="AO141" i="6"/>
  <c r="AP2" i="4"/>
  <c r="AP2" i="40"/>
  <c r="AP2" i="37"/>
  <c r="AP2" i="34"/>
  <c r="AP2" i="31"/>
  <c r="AP2" i="21"/>
  <c r="AP2" i="28"/>
  <c r="AP2" i="22"/>
  <c r="AP60" i="20"/>
  <c r="AP2" i="20"/>
  <c r="AP2" i="19"/>
  <c r="AP2" i="17"/>
  <c r="AP2" i="18"/>
  <c r="AP2" i="16"/>
  <c r="AP2" i="15"/>
  <c r="AP2" i="14"/>
  <c r="AP2" i="13"/>
  <c r="AP2" i="12"/>
  <c r="AP2" i="10"/>
  <c r="AP2" i="9"/>
  <c r="AP2" i="11"/>
  <c r="AP2" i="8"/>
  <c r="AP282" i="6"/>
  <c r="AP284" i="6" s="1"/>
  <c r="AP276" i="6" s="1"/>
  <c r="AP277" i="6" s="1"/>
  <c r="AP270" i="6" s="1"/>
  <c r="AP249" i="6"/>
  <c r="AP251" i="6" s="1"/>
  <c r="AP21" i="18" s="1"/>
  <c r="AP2" i="7"/>
  <c r="AP233" i="6"/>
  <c r="AP235" i="6" s="1"/>
  <c r="AP21" i="17" s="1"/>
  <c r="AP209" i="6"/>
  <c r="AP319" i="6"/>
  <c r="AP321" i="6" s="1"/>
  <c r="AP313" i="6"/>
  <c r="AQ314" i="6" s="1"/>
  <c r="AP241" i="6"/>
  <c r="AP243" i="6" s="1"/>
  <c r="AP20" i="16" s="1"/>
  <c r="AP182" i="6"/>
  <c r="AP184" i="6" s="1"/>
  <c r="AP189" i="6" s="1"/>
  <c r="AP190" i="6" s="1"/>
  <c r="AP194" i="6" s="1"/>
  <c r="AP120" i="6"/>
  <c r="AP122" i="6" s="1"/>
  <c r="AP127" i="6" s="1"/>
  <c r="AP128" i="6" s="1"/>
  <c r="AP132" i="6" s="1"/>
  <c r="AP114" i="6"/>
  <c r="AP115" i="6" s="1"/>
  <c r="AP92" i="6"/>
  <c r="AP176" i="6"/>
  <c r="AP177" i="6" s="1"/>
  <c r="AP52" i="6"/>
  <c r="AP147" i="6"/>
  <c r="AP32" i="6"/>
  <c r="AP72" i="6"/>
  <c r="AP2" i="6"/>
  <c r="AP18" i="37"/>
  <c r="AP84" i="12"/>
  <c r="AP31" i="13"/>
  <c r="AP62" i="12"/>
  <c r="AP23" i="13"/>
  <c r="P48" i="17"/>
  <c r="P34" i="17"/>
  <c r="P35" i="17" s="1"/>
  <c r="P13" i="17" s="1"/>
  <c r="P15" i="17" s="1"/>
  <c r="AQ9" i="37"/>
  <c r="AQ17" i="12"/>
  <c r="AQ42" i="10"/>
  <c r="AQ22" i="10"/>
  <c r="Q15" i="37"/>
  <c r="L28" i="49" s="1"/>
  <c r="R60" i="12"/>
  <c r="AN19" i="37"/>
  <c r="AO83" i="12"/>
  <c r="AO85" i="12" s="1"/>
  <c r="AP61" i="20"/>
  <c r="AP67" i="20" s="1"/>
  <c r="R28" i="10"/>
  <c r="J12" i="51" l="1"/>
  <c r="K21" i="49"/>
  <c r="J14" i="51"/>
  <c r="K23" i="49"/>
  <c r="Q10" i="31"/>
  <c r="K25" i="51" s="1"/>
  <c r="R41" i="15"/>
  <c r="S8" i="34"/>
  <c r="M47" i="51" s="1"/>
  <c r="S44" i="15"/>
  <c r="AP224" i="6"/>
  <c r="AP203" i="6"/>
  <c r="AR3" i="40"/>
  <c r="AR3" i="4"/>
  <c r="AR3" i="37"/>
  <c r="AR3" i="34"/>
  <c r="AR3" i="28"/>
  <c r="AR3" i="31"/>
  <c r="AR3" i="22"/>
  <c r="AR3" i="21"/>
  <c r="AR3" i="20"/>
  <c r="AR3" i="19"/>
  <c r="AR3" i="18"/>
  <c r="AR3" i="17"/>
  <c r="AR3" i="15"/>
  <c r="AR3" i="16"/>
  <c r="AR3" i="14"/>
  <c r="AR3" i="13"/>
  <c r="AR3" i="11"/>
  <c r="AR3" i="10"/>
  <c r="AR3" i="12"/>
  <c r="AR3" i="8"/>
  <c r="AR3" i="9"/>
  <c r="AR3" i="7"/>
  <c r="AR99" i="6"/>
  <c r="AR79" i="6"/>
  <c r="AR39" i="6"/>
  <c r="AR3" i="6"/>
  <c r="AR59" i="6"/>
  <c r="AP162" i="6"/>
  <c r="AP141" i="6"/>
  <c r="AR9" i="37"/>
  <c r="AR17" i="12"/>
  <c r="AR42" i="10"/>
  <c r="AR22" i="10"/>
  <c r="AQ32" i="12"/>
  <c r="AQ40" i="12"/>
  <c r="AQ13" i="10"/>
  <c r="AQ14" i="10" s="1"/>
  <c r="AQ2" i="4"/>
  <c r="AQ2" i="40"/>
  <c r="AQ2" i="37"/>
  <c r="AQ2" i="34"/>
  <c r="AQ2" i="28"/>
  <c r="AQ2" i="31"/>
  <c r="AQ2" i="21"/>
  <c r="AQ2" i="22"/>
  <c r="AQ60" i="20"/>
  <c r="AQ2" i="20"/>
  <c r="AQ2" i="19"/>
  <c r="AQ2" i="18"/>
  <c r="AQ2" i="17"/>
  <c r="AQ2" i="15"/>
  <c r="AQ2" i="16"/>
  <c r="AQ2" i="14"/>
  <c r="AQ2" i="13"/>
  <c r="AQ2" i="12"/>
  <c r="AQ2" i="11"/>
  <c r="AQ2" i="10"/>
  <c r="AQ2" i="9"/>
  <c r="AQ2" i="7"/>
  <c r="AQ2" i="8"/>
  <c r="AQ282" i="6"/>
  <c r="AQ284" i="6" s="1"/>
  <c r="AQ276" i="6" s="1"/>
  <c r="AQ277" i="6" s="1"/>
  <c r="AQ270" i="6" s="1"/>
  <c r="AQ249" i="6"/>
  <c r="AQ251" i="6" s="1"/>
  <c r="AQ21" i="18" s="1"/>
  <c r="AQ319" i="6"/>
  <c r="AQ321" i="6" s="1"/>
  <c r="AQ313" i="6"/>
  <c r="AR314" i="6" s="1"/>
  <c r="AQ241" i="6"/>
  <c r="AQ243" i="6" s="1"/>
  <c r="AQ20" i="16" s="1"/>
  <c r="AQ176" i="6"/>
  <c r="AQ177" i="6" s="1"/>
  <c r="AQ114" i="6"/>
  <c r="AQ115" i="6" s="1"/>
  <c r="AQ92" i="6"/>
  <c r="AQ233" i="6"/>
  <c r="AQ235" i="6" s="1"/>
  <c r="AQ21" i="17" s="1"/>
  <c r="AQ147" i="6"/>
  <c r="AQ209" i="6"/>
  <c r="AQ182" i="6"/>
  <c r="AQ184" i="6" s="1"/>
  <c r="AQ189" i="6" s="1"/>
  <c r="AQ190" i="6" s="1"/>
  <c r="AQ194" i="6" s="1"/>
  <c r="AQ120" i="6"/>
  <c r="AQ122" i="6" s="1"/>
  <c r="AQ127" i="6" s="1"/>
  <c r="AQ128" i="6" s="1"/>
  <c r="AQ132" i="6" s="1"/>
  <c r="AQ32" i="6"/>
  <c r="AQ72" i="6"/>
  <c r="AQ2" i="6"/>
  <c r="AQ52" i="6"/>
  <c r="AQ61" i="20"/>
  <c r="AQ67" i="20" s="1"/>
  <c r="AS4" i="4"/>
  <c r="AS4" i="40"/>
  <c r="AS4" i="37"/>
  <c r="AS4" i="34"/>
  <c r="AS4" i="31"/>
  <c r="AS4" i="28"/>
  <c r="AS10" i="21"/>
  <c r="AS74" i="20"/>
  <c r="AS4" i="20"/>
  <c r="AS4" i="22"/>
  <c r="AS4" i="21"/>
  <c r="AS32" i="20"/>
  <c r="AS4" i="19"/>
  <c r="AS28" i="19"/>
  <c r="AS10" i="17"/>
  <c r="AS4" i="18"/>
  <c r="AS10" i="18"/>
  <c r="AS4" i="17"/>
  <c r="AS4" i="16"/>
  <c r="AS4" i="14"/>
  <c r="AS10" i="16"/>
  <c r="AS27" i="15"/>
  <c r="AS40" i="15"/>
  <c r="AS4" i="15"/>
  <c r="AS19" i="13"/>
  <c r="AS4" i="13"/>
  <c r="AS28" i="13"/>
  <c r="AS82" i="12"/>
  <c r="AS46" i="12"/>
  <c r="AS69" i="12"/>
  <c r="AS4" i="11"/>
  <c r="AS18" i="12"/>
  <c r="AS59" i="12"/>
  <c r="AS4" i="12"/>
  <c r="AS23" i="11"/>
  <c r="AS4" i="10"/>
  <c r="AS19" i="10"/>
  <c r="AS336" i="6"/>
  <c r="AS337" i="6" s="1"/>
  <c r="AS4" i="9"/>
  <c r="AS35" i="9"/>
  <c r="AS12" i="10"/>
  <c r="AS4" i="7"/>
  <c r="AS275" i="6"/>
  <c r="AS301" i="6"/>
  <c r="AS302" i="6" s="1"/>
  <c r="AS346" i="6"/>
  <c r="AS347" i="6" s="1"/>
  <c r="AS4" i="8"/>
  <c r="AS351" i="6"/>
  <c r="AS352" i="6" s="1"/>
  <c r="AS320" i="6"/>
  <c r="AS331" i="6"/>
  <c r="AS332" i="6" s="1"/>
  <c r="AS312" i="6"/>
  <c r="AS10" i="9"/>
  <c r="AS296" i="6"/>
  <c r="AS297" i="6" s="1"/>
  <c r="AS259" i="6"/>
  <c r="AS80" i="6"/>
  <c r="AS4" i="6"/>
  <c r="AS188" i="6"/>
  <c r="AS140" i="6"/>
  <c r="AS86" i="6"/>
  <c r="AS93" i="6"/>
  <c r="AS126" i="6"/>
  <c r="AS100" i="6"/>
  <c r="AS202" i="6"/>
  <c r="AS106" i="6"/>
  <c r="AS53" i="6"/>
  <c r="AS23" i="6"/>
  <c r="AS24" i="6" s="1"/>
  <c r="AT28" i="6"/>
  <c r="AS66" i="6"/>
  <c r="AS46" i="6"/>
  <c r="AS40" i="6"/>
  <c r="AS60" i="6"/>
  <c r="AS33" i="6"/>
  <c r="AS11" i="6"/>
  <c r="AS12" i="6" s="1"/>
  <c r="AS73" i="6"/>
  <c r="AS35" i="10"/>
  <c r="AR59" i="20"/>
  <c r="AR53" i="20"/>
  <c r="AR54" i="20" s="1"/>
  <c r="AR58" i="20" s="1"/>
  <c r="AR234" i="6"/>
  <c r="AR242" i="6"/>
  <c r="AR183" i="6"/>
  <c r="AR290" i="6"/>
  <c r="AR291" i="6" s="1"/>
  <c r="AR283" i="6"/>
  <c r="AR250" i="6"/>
  <c r="AR121" i="6"/>
  <c r="AR18" i="6"/>
  <c r="AR19" i="6" s="1"/>
  <c r="AR14" i="37"/>
  <c r="AR72" i="12"/>
  <c r="AR76" i="12"/>
  <c r="AR77" i="12" s="1"/>
  <c r="AR64" i="12"/>
  <c r="P23" i="34"/>
  <c r="J62" i="51" s="1"/>
  <c r="AO19" i="37"/>
  <c r="AP83" i="12"/>
  <c r="AP85" i="12" s="1"/>
  <c r="P47" i="16"/>
  <c r="P33" i="16"/>
  <c r="P34" i="16" s="1"/>
  <c r="P13" i="16" s="1"/>
  <c r="P15" i="16" s="1"/>
  <c r="AP8" i="37"/>
  <c r="AP16" i="12"/>
  <c r="AP21" i="10"/>
  <c r="AP41" i="10"/>
  <c r="AP43" i="10" s="1"/>
  <c r="AP25" i="14" s="1"/>
  <c r="AP26" i="14" s="1"/>
  <c r="AP34" i="10"/>
  <c r="P18" i="31"/>
  <c r="Q11" i="18"/>
  <c r="AR94" i="6"/>
  <c r="AR101" i="6"/>
  <c r="AR107" i="6"/>
  <c r="AO27" i="14"/>
  <c r="AO9" i="28" s="1"/>
  <c r="AI5" i="51" s="1"/>
  <c r="AO49" i="15"/>
  <c r="AO34" i="15"/>
  <c r="AO12" i="14"/>
  <c r="AQ18" i="37"/>
  <c r="AQ84" i="12"/>
  <c r="AQ31" i="13"/>
  <c r="AQ62" i="12"/>
  <c r="AQ23" i="13"/>
  <c r="AP26" i="31"/>
  <c r="AJ41" i="51" s="1"/>
  <c r="AQ11" i="21"/>
  <c r="AQ13" i="21" s="1"/>
  <c r="AP29" i="9"/>
  <c r="P16" i="31"/>
  <c r="Q11" i="17"/>
  <c r="Q8" i="28"/>
  <c r="Q19" i="16"/>
  <c r="Q21" i="16" s="1"/>
  <c r="Q26" i="11"/>
  <c r="Q27" i="11" s="1"/>
  <c r="R27" i="10"/>
  <c r="R29" i="10" s="1"/>
  <c r="AP67" i="6"/>
  <c r="AP61" i="6"/>
  <c r="AP54" i="6"/>
  <c r="P17" i="28"/>
  <c r="AR47" i="6"/>
  <c r="AR41" i="6"/>
  <c r="AR34" i="6"/>
  <c r="P25" i="34"/>
  <c r="J64" i="51" s="1"/>
  <c r="AR74" i="6"/>
  <c r="AR81" i="6"/>
  <c r="AR87" i="6"/>
  <c r="K4" i="51" l="1"/>
  <c r="L12" i="49"/>
  <c r="J13" i="51"/>
  <c r="K22" i="49"/>
  <c r="J31" i="51"/>
  <c r="K9" i="49"/>
  <c r="J33" i="51"/>
  <c r="K10" i="49"/>
  <c r="AQ26" i="31"/>
  <c r="AK41" i="51" s="1"/>
  <c r="AR11" i="21"/>
  <c r="AR13" i="21" s="1"/>
  <c r="AQ29" i="9"/>
  <c r="P17" i="31"/>
  <c r="Q11" i="16"/>
  <c r="AR18" i="37"/>
  <c r="AR31" i="13"/>
  <c r="AR23" i="13"/>
  <c r="AR84" i="12"/>
  <c r="AR62" i="12"/>
  <c r="AS3" i="4"/>
  <c r="AS3" i="37"/>
  <c r="AS3" i="40"/>
  <c r="AS3" i="34"/>
  <c r="AS3" i="31"/>
  <c r="AS3" i="28"/>
  <c r="AS3" i="22"/>
  <c r="AS3" i="21"/>
  <c r="AS3" i="20"/>
  <c r="AS3" i="19"/>
  <c r="AS3" i="18"/>
  <c r="AS3" i="17"/>
  <c r="AS3" i="15"/>
  <c r="AS3" i="13"/>
  <c r="AS3" i="16"/>
  <c r="AS3" i="14"/>
  <c r="AS3" i="12"/>
  <c r="AS3" i="11"/>
  <c r="AS3" i="10"/>
  <c r="AS3" i="8"/>
  <c r="AS3" i="9"/>
  <c r="AS3" i="7"/>
  <c r="AS79" i="6"/>
  <c r="AS99" i="6"/>
  <c r="AS3" i="6"/>
  <c r="AS39" i="6"/>
  <c r="AS59" i="6"/>
  <c r="P24" i="34"/>
  <c r="J63" i="51" s="1"/>
  <c r="AS53" i="20"/>
  <c r="AS54" i="20" s="1"/>
  <c r="AS58" i="20" s="1"/>
  <c r="AS59" i="20"/>
  <c r="AS234" i="6"/>
  <c r="AS242" i="6"/>
  <c r="AS290" i="6"/>
  <c r="AS291" i="6" s="1"/>
  <c r="AS283" i="6"/>
  <c r="AS250" i="6"/>
  <c r="AS183" i="6"/>
  <c r="AS121" i="6"/>
  <c r="AS18" i="6"/>
  <c r="AS19" i="6" s="1"/>
  <c r="AS14" i="37"/>
  <c r="AS72" i="12"/>
  <c r="AS76" i="12"/>
  <c r="AS77" i="12" s="1"/>
  <c r="AS64" i="12"/>
  <c r="AQ162" i="6"/>
  <c r="AQ141" i="6"/>
  <c r="AR2" i="4"/>
  <c r="AR2" i="40"/>
  <c r="AR2" i="37"/>
  <c r="AR2" i="34"/>
  <c r="AR2" i="31"/>
  <c r="AR2" i="22"/>
  <c r="AR2" i="28"/>
  <c r="AR2" i="21"/>
  <c r="AR60" i="20"/>
  <c r="AR2" i="20"/>
  <c r="AR2" i="19"/>
  <c r="AR2" i="18"/>
  <c r="AR2" i="17"/>
  <c r="AR2" i="16"/>
  <c r="AR2" i="14"/>
  <c r="AR2" i="15"/>
  <c r="AR2" i="13"/>
  <c r="AR2" i="12"/>
  <c r="AR2" i="11"/>
  <c r="AR2" i="10"/>
  <c r="AR2" i="8"/>
  <c r="AR249" i="6"/>
  <c r="AR251" i="6" s="1"/>
  <c r="AR21" i="18" s="1"/>
  <c r="AR2" i="9"/>
  <c r="AR2" i="7"/>
  <c r="AR319" i="6"/>
  <c r="AR321" i="6" s="1"/>
  <c r="AR313" i="6"/>
  <c r="AR241" i="6"/>
  <c r="AR243" i="6" s="1"/>
  <c r="AR20" i="16" s="1"/>
  <c r="AR282" i="6"/>
  <c r="AR284" i="6" s="1"/>
  <c r="AR276" i="6" s="1"/>
  <c r="AR277" i="6" s="1"/>
  <c r="AR270" i="6" s="1"/>
  <c r="AR176" i="6"/>
  <c r="AR177" i="6" s="1"/>
  <c r="AR233" i="6"/>
  <c r="AR235" i="6" s="1"/>
  <c r="AR21" i="17" s="1"/>
  <c r="AR147" i="6"/>
  <c r="AR209" i="6"/>
  <c r="AR182" i="6"/>
  <c r="AR184" i="6" s="1"/>
  <c r="AR189" i="6" s="1"/>
  <c r="AR190" i="6" s="1"/>
  <c r="AR194" i="6" s="1"/>
  <c r="AR120" i="6"/>
  <c r="AR122" i="6" s="1"/>
  <c r="AR127" i="6" s="1"/>
  <c r="AR128" i="6" s="1"/>
  <c r="AR132" i="6" s="1"/>
  <c r="AR114" i="6"/>
  <c r="AR115" i="6" s="1"/>
  <c r="AR92" i="6"/>
  <c r="AR32" i="6"/>
  <c r="AR72" i="6"/>
  <c r="AR2" i="6"/>
  <c r="AR52" i="6"/>
  <c r="Q40" i="17"/>
  <c r="Q41" i="17" s="1"/>
  <c r="AS314" i="6"/>
  <c r="AP49" i="15"/>
  <c r="AP34" i="15"/>
  <c r="AP27" i="14"/>
  <c r="AP9" i="28" s="1"/>
  <c r="AJ5" i="51" s="1"/>
  <c r="AP12" i="14"/>
  <c r="AP19" i="37"/>
  <c r="AQ83" i="12"/>
  <c r="AQ85" i="12" s="1"/>
  <c r="AR40" i="12"/>
  <c r="AR32" i="12"/>
  <c r="AR13" i="10"/>
  <c r="AR14" i="10" s="1"/>
  <c r="AS94" i="6"/>
  <c r="AS101" i="6"/>
  <c r="AS107" i="6"/>
  <c r="AQ203" i="6"/>
  <c r="AQ224" i="6"/>
  <c r="AS9" i="37"/>
  <c r="AS17" i="12"/>
  <c r="AS22" i="10"/>
  <c r="AS42" i="10"/>
  <c r="R53" i="12"/>
  <c r="R54" i="12" s="1"/>
  <c r="R11" i="11"/>
  <c r="R12" i="11" s="1"/>
  <c r="R23" i="10"/>
  <c r="R24" i="10" s="1"/>
  <c r="AS74" i="6"/>
  <c r="AS81" i="6"/>
  <c r="AS87" i="6"/>
  <c r="Q40" i="18"/>
  <c r="Q41" i="18" s="1"/>
  <c r="Q27" i="18"/>
  <c r="Q28" i="18" s="1"/>
  <c r="Q14" i="31"/>
  <c r="K29" i="51" s="1"/>
  <c r="R24" i="11"/>
  <c r="Q19" i="34"/>
  <c r="K58" i="51" s="1"/>
  <c r="Q26" i="16"/>
  <c r="S27" i="16" s="1"/>
  <c r="Q12" i="16"/>
  <c r="AR61" i="20"/>
  <c r="AR67" i="20" s="1"/>
  <c r="AT4" i="40"/>
  <c r="AT4" i="4"/>
  <c r="AT4" i="37"/>
  <c r="AT4" i="34"/>
  <c r="AT4" i="31"/>
  <c r="AT4" i="22"/>
  <c r="AT4" i="28"/>
  <c r="AT10" i="21"/>
  <c r="AT4" i="21"/>
  <c r="AT74" i="20"/>
  <c r="AT32" i="20"/>
  <c r="AT28" i="19"/>
  <c r="AT4" i="20"/>
  <c r="AT4" i="19"/>
  <c r="AT10" i="17"/>
  <c r="AT4" i="18"/>
  <c r="AT4" i="16"/>
  <c r="AT10" i="18"/>
  <c r="AT4" i="17"/>
  <c r="AT10" i="16"/>
  <c r="AT27" i="15"/>
  <c r="AT40" i="15"/>
  <c r="AT4" i="15"/>
  <c r="AT4" i="13"/>
  <c r="AT28" i="13"/>
  <c r="AT82" i="12"/>
  <c r="AT46" i="12"/>
  <c r="AT4" i="14"/>
  <c r="AT19" i="13"/>
  <c r="AT69" i="12"/>
  <c r="AT18" i="12"/>
  <c r="AT59" i="12"/>
  <c r="AT4" i="12"/>
  <c r="AT23" i="11"/>
  <c r="AT4" i="11"/>
  <c r="AT19" i="10"/>
  <c r="AT10" i="9"/>
  <c r="AT4" i="9"/>
  <c r="AT4" i="7"/>
  <c r="AT351" i="6"/>
  <c r="AT352" i="6" s="1"/>
  <c r="AT35" i="9"/>
  <c r="AT4" i="8"/>
  <c r="AT12" i="10"/>
  <c r="AT4" i="10"/>
  <c r="AT301" i="6"/>
  <c r="AT302" i="6" s="1"/>
  <c r="AT346" i="6"/>
  <c r="AT347" i="6" s="1"/>
  <c r="AT320" i="6"/>
  <c r="AT331" i="6"/>
  <c r="AT332" i="6" s="1"/>
  <c r="AT312" i="6"/>
  <c r="AT188" i="6"/>
  <c r="AT336" i="6"/>
  <c r="AT337" i="6" s="1"/>
  <c r="AT296" i="6"/>
  <c r="AT297" i="6" s="1"/>
  <c r="AT259" i="6"/>
  <c r="AT275" i="6"/>
  <c r="AT80" i="6"/>
  <c r="AT140" i="6"/>
  <c r="AT86" i="6"/>
  <c r="AT33" i="6"/>
  <c r="AT11" i="6"/>
  <c r="AT12" i="6" s="1"/>
  <c r="AT93" i="6"/>
  <c r="AT126" i="6"/>
  <c r="AT100" i="6"/>
  <c r="AT202" i="6"/>
  <c r="AT106" i="6"/>
  <c r="AT60" i="6"/>
  <c r="AT66" i="6"/>
  <c r="AT46" i="6"/>
  <c r="AT40" i="6"/>
  <c r="AT23" i="6"/>
  <c r="AT24" i="6" s="1"/>
  <c r="AT4" i="6"/>
  <c r="AT73" i="6"/>
  <c r="AT53" i="6"/>
  <c r="AU28" i="6"/>
  <c r="AT35" i="10"/>
  <c r="AS34" i="6"/>
  <c r="AS47" i="6"/>
  <c r="AS41" i="6"/>
  <c r="AQ67" i="6"/>
  <c r="AQ61" i="6"/>
  <c r="AQ54" i="6"/>
  <c r="AQ8" i="37"/>
  <c r="AQ16" i="12"/>
  <c r="AQ41" i="10"/>
  <c r="AQ43" i="10" s="1"/>
  <c r="AQ25" i="14" s="1"/>
  <c r="AQ26" i="14" s="1"/>
  <c r="AQ34" i="10"/>
  <c r="AQ21" i="10"/>
  <c r="J32" i="51" l="1"/>
  <c r="K8" i="49"/>
  <c r="AT14" i="37"/>
  <c r="AT76" i="12"/>
  <c r="AT77" i="12" s="1"/>
  <c r="AT72" i="12"/>
  <c r="AT64" i="12"/>
  <c r="AR8" i="37"/>
  <c r="AR16" i="12"/>
  <c r="AR41" i="10"/>
  <c r="AR43" i="10" s="1"/>
  <c r="AR25" i="14" s="1"/>
  <c r="AR26" i="14" s="1"/>
  <c r="AR34" i="10"/>
  <c r="AR21" i="10"/>
  <c r="AR224" i="6"/>
  <c r="AR203" i="6"/>
  <c r="AS2" i="4"/>
  <c r="AS2" i="40"/>
  <c r="AS2" i="37"/>
  <c r="AS2" i="34"/>
  <c r="AS2" i="31"/>
  <c r="AS2" i="22"/>
  <c r="AS2" i="28"/>
  <c r="AS2" i="20"/>
  <c r="AS60" i="20"/>
  <c r="AS2" i="21"/>
  <c r="AS2" i="19"/>
  <c r="AS2" i="17"/>
  <c r="AS2" i="18"/>
  <c r="AS2" i="16"/>
  <c r="AS2" i="14"/>
  <c r="AS2" i="15"/>
  <c r="AS2" i="13"/>
  <c r="AS2" i="11"/>
  <c r="AS2" i="12"/>
  <c r="AS2" i="10"/>
  <c r="AS2" i="9"/>
  <c r="AS319" i="6"/>
  <c r="AS321" i="6" s="1"/>
  <c r="AS2" i="7"/>
  <c r="AS313" i="6"/>
  <c r="AS241" i="6"/>
  <c r="AS243" i="6" s="1"/>
  <c r="AS20" i="16" s="1"/>
  <c r="AS182" i="6"/>
  <c r="AS184" i="6" s="1"/>
  <c r="AS189" i="6" s="1"/>
  <c r="AS190" i="6" s="1"/>
  <c r="AS194" i="6" s="1"/>
  <c r="AS282" i="6"/>
  <c r="AS284" i="6" s="1"/>
  <c r="AS276" i="6" s="1"/>
  <c r="AS277" i="6" s="1"/>
  <c r="AS270" i="6" s="1"/>
  <c r="AS2" i="8"/>
  <c r="AS249" i="6"/>
  <c r="AS251" i="6" s="1"/>
  <c r="AS21" i="18" s="1"/>
  <c r="AS176" i="6"/>
  <c r="AS177" i="6" s="1"/>
  <c r="AS233" i="6"/>
  <c r="AS235" i="6" s="1"/>
  <c r="AS21" i="17" s="1"/>
  <c r="AS147" i="6"/>
  <c r="AS209" i="6"/>
  <c r="AS72" i="6"/>
  <c r="AS2" i="6"/>
  <c r="AS120" i="6"/>
  <c r="AS122" i="6" s="1"/>
  <c r="AS127" i="6" s="1"/>
  <c r="AS128" i="6" s="1"/>
  <c r="AS132" i="6" s="1"/>
  <c r="AS114" i="6"/>
  <c r="AS115" i="6" s="1"/>
  <c r="AS92" i="6"/>
  <c r="AS52" i="6"/>
  <c r="AS32" i="6"/>
  <c r="AT41" i="6"/>
  <c r="AT34" i="6"/>
  <c r="AT47" i="6"/>
  <c r="S14" i="16"/>
  <c r="S28" i="16"/>
  <c r="S20" i="34" s="1"/>
  <c r="M59" i="51" s="1"/>
  <c r="AS61" i="20"/>
  <c r="AS67" i="20" s="1"/>
  <c r="R16" i="37"/>
  <c r="R63" i="12"/>
  <c r="R65" i="12" s="1"/>
  <c r="R71" i="12"/>
  <c r="R73" i="12" s="1"/>
  <c r="AS18" i="37"/>
  <c r="AS84" i="12"/>
  <c r="AS31" i="13"/>
  <c r="AS62" i="12"/>
  <c r="AS23" i="13"/>
  <c r="Q39" i="16"/>
  <c r="Q40" i="16" s="1"/>
  <c r="AT3" i="4"/>
  <c r="AT3" i="40"/>
  <c r="AT3" i="37"/>
  <c r="AT3" i="34"/>
  <c r="AT3" i="31"/>
  <c r="AT3" i="28"/>
  <c r="AT3" i="21"/>
  <c r="AT3" i="22"/>
  <c r="AT3" i="20"/>
  <c r="AT3" i="19"/>
  <c r="AT3" i="17"/>
  <c r="AT3" i="18"/>
  <c r="AT3" i="16"/>
  <c r="AT3" i="15"/>
  <c r="AT3" i="14"/>
  <c r="AT3" i="13"/>
  <c r="AT3" i="12"/>
  <c r="AT3" i="10"/>
  <c r="AT3" i="9"/>
  <c r="AT3" i="11"/>
  <c r="AT3" i="8"/>
  <c r="AT3" i="7"/>
  <c r="AT79" i="6"/>
  <c r="AT99" i="6"/>
  <c r="AT3" i="6"/>
  <c r="AT39" i="6"/>
  <c r="AT59" i="6"/>
  <c r="AT59" i="20"/>
  <c r="AT53" i="20"/>
  <c r="AT54" i="20" s="1"/>
  <c r="AT58" i="20" s="1"/>
  <c r="AT242" i="6"/>
  <c r="AT290" i="6"/>
  <c r="AT291" i="6" s="1"/>
  <c r="AT283" i="6"/>
  <c r="AT250" i="6"/>
  <c r="AT234" i="6"/>
  <c r="AT183" i="6"/>
  <c r="AT121" i="6"/>
  <c r="AT18" i="6"/>
  <c r="AT19" i="6" s="1"/>
  <c r="AT74" i="6"/>
  <c r="AT81" i="6"/>
  <c r="AT87" i="6"/>
  <c r="AQ19" i="37"/>
  <c r="AR83" i="12"/>
  <c r="AR85" i="12" s="1"/>
  <c r="AT9" i="37"/>
  <c r="AT17" i="12"/>
  <c r="AT22" i="10"/>
  <c r="AT42" i="10"/>
  <c r="Q29" i="18"/>
  <c r="Q22" i="34" s="1"/>
  <c r="K61" i="51" s="1"/>
  <c r="Q14" i="18"/>
  <c r="Q46" i="17"/>
  <c r="Q47" i="17" s="1"/>
  <c r="Q33" i="17"/>
  <c r="Q42" i="17"/>
  <c r="Q16" i="28" s="1"/>
  <c r="AR54" i="6"/>
  <c r="AR67" i="6"/>
  <c r="AR61" i="6"/>
  <c r="AR141" i="6"/>
  <c r="AR162" i="6"/>
  <c r="AQ49" i="15"/>
  <c r="AQ12" i="14"/>
  <c r="AQ34" i="15"/>
  <c r="AQ27" i="14"/>
  <c r="AQ9" i="28" s="1"/>
  <c r="AK5" i="51" s="1"/>
  <c r="AU4" i="40"/>
  <c r="AU4" i="4"/>
  <c r="AU4" i="37"/>
  <c r="AU4" i="34"/>
  <c r="AU4" i="31"/>
  <c r="AU4" i="28"/>
  <c r="AU74" i="20"/>
  <c r="AU4" i="22"/>
  <c r="AU4" i="21"/>
  <c r="AU10" i="21"/>
  <c r="AU32" i="20"/>
  <c r="AU4" i="20"/>
  <c r="AU10" i="18"/>
  <c r="AU28" i="19"/>
  <c r="AU4" i="19"/>
  <c r="AU4" i="18"/>
  <c r="AU4" i="17"/>
  <c r="AU10" i="17"/>
  <c r="AU4" i="15"/>
  <c r="AU4" i="14"/>
  <c r="AU27" i="15"/>
  <c r="AU10" i="16"/>
  <c r="AU28" i="13"/>
  <c r="AU40" i="15"/>
  <c r="AU4" i="16"/>
  <c r="AU4" i="13"/>
  <c r="AU82" i="12"/>
  <c r="AU46" i="12"/>
  <c r="AU19" i="13"/>
  <c r="AU69" i="12"/>
  <c r="AU59" i="12"/>
  <c r="AU18" i="12"/>
  <c r="AU4" i="12"/>
  <c r="AU4" i="11"/>
  <c r="AU23" i="11"/>
  <c r="AU19" i="10"/>
  <c r="AU35" i="9"/>
  <c r="AU4" i="8"/>
  <c r="AU12" i="10"/>
  <c r="AU4" i="10"/>
  <c r="AU10" i="9"/>
  <c r="AU331" i="6"/>
  <c r="AU332" i="6" s="1"/>
  <c r="AU346" i="6"/>
  <c r="AU347" i="6" s="1"/>
  <c r="AU320" i="6"/>
  <c r="AU351" i="6"/>
  <c r="AU352" i="6" s="1"/>
  <c r="AU312" i="6"/>
  <c r="AU4" i="9"/>
  <c r="AU336" i="6"/>
  <c r="AU337" i="6" s="1"/>
  <c r="AU296" i="6"/>
  <c r="AU297" i="6" s="1"/>
  <c r="AU259" i="6"/>
  <c r="AU275" i="6"/>
  <c r="AU4" i="7"/>
  <c r="AU301" i="6"/>
  <c r="AU302" i="6" s="1"/>
  <c r="AU80" i="6"/>
  <c r="AU140" i="6"/>
  <c r="AU86" i="6"/>
  <c r="AU188" i="6"/>
  <c r="AU93" i="6"/>
  <c r="AU40" i="6"/>
  <c r="AV28" i="6"/>
  <c r="AU126" i="6"/>
  <c r="AU100" i="6"/>
  <c r="AU202" i="6"/>
  <c r="AU106" i="6"/>
  <c r="AU66" i="6"/>
  <c r="AU46" i="6"/>
  <c r="AU23" i="6"/>
  <c r="AU24" i="6" s="1"/>
  <c r="AU60" i="6"/>
  <c r="AU4" i="6"/>
  <c r="AU11" i="6"/>
  <c r="AU12" i="6" s="1"/>
  <c r="AU33" i="6"/>
  <c r="AU73" i="6"/>
  <c r="AU53" i="6"/>
  <c r="AU35" i="10"/>
  <c r="AT314" i="6"/>
  <c r="Q33" i="18"/>
  <c r="Q46" i="18"/>
  <c r="Q47" i="18" s="1"/>
  <c r="Q42" i="18"/>
  <c r="Q18" i="28" s="1"/>
  <c r="R10" i="37"/>
  <c r="M26" i="49" s="1"/>
  <c r="R24" i="12"/>
  <c r="R26" i="12" s="1"/>
  <c r="R31" i="12" s="1"/>
  <c r="S20" i="10"/>
  <c r="AS40" i="12"/>
  <c r="AS32" i="12"/>
  <c r="AS13" i="10"/>
  <c r="AS14" i="10" s="1"/>
  <c r="AT94" i="6"/>
  <c r="AT101" i="6"/>
  <c r="AT107" i="6"/>
  <c r="R16" i="19"/>
  <c r="R17" i="19" s="1"/>
  <c r="R20" i="15"/>
  <c r="R42" i="15"/>
  <c r="R25" i="11"/>
  <c r="AR26" i="31"/>
  <c r="AL41" i="51" s="1"/>
  <c r="AS11" i="21"/>
  <c r="AS13" i="21" s="1"/>
  <c r="AR29" i="9"/>
  <c r="K12" i="51" l="1"/>
  <c r="L21" i="49"/>
  <c r="K14" i="51"/>
  <c r="L23" i="49"/>
  <c r="Q48" i="18"/>
  <c r="Q25" i="34" s="1"/>
  <c r="K64" i="51" s="1"/>
  <c r="Q34" i="18"/>
  <c r="Q35" i="18" s="1"/>
  <c r="Q13" i="18" s="1"/>
  <c r="Q15" i="18" s="1"/>
  <c r="AU47" i="6"/>
  <c r="AU41" i="6"/>
  <c r="AU34" i="6"/>
  <c r="AU94" i="6"/>
  <c r="AU101" i="6"/>
  <c r="AU107" i="6"/>
  <c r="AT40" i="12"/>
  <c r="AT32" i="12"/>
  <c r="AT13" i="10"/>
  <c r="AT14" i="10" s="1"/>
  <c r="AU9" i="37"/>
  <c r="AU17" i="12"/>
  <c r="AU42" i="10"/>
  <c r="AU22" i="10"/>
  <c r="AU3" i="4"/>
  <c r="AU3" i="40"/>
  <c r="AU3" i="37"/>
  <c r="AU3" i="34"/>
  <c r="AU3" i="31"/>
  <c r="AU3" i="28"/>
  <c r="AU3" i="22"/>
  <c r="AU3" i="21"/>
  <c r="AU3" i="20"/>
  <c r="AU3" i="19"/>
  <c r="AU3" i="18"/>
  <c r="AU3" i="17"/>
  <c r="AU3" i="15"/>
  <c r="AU3" i="16"/>
  <c r="AU3" i="14"/>
  <c r="AU3" i="13"/>
  <c r="AU3" i="12"/>
  <c r="AU3" i="8"/>
  <c r="AU3" i="11"/>
  <c r="AU3" i="10"/>
  <c r="AU3" i="9"/>
  <c r="AU3" i="7"/>
  <c r="AU79" i="6"/>
  <c r="AU99" i="6"/>
  <c r="AU59" i="6"/>
  <c r="AU3" i="6"/>
  <c r="AU39" i="6"/>
  <c r="AR19" i="37"/>
  <c r="AS83" i="12"/>
  <c r="AS85" i="12" s="1"/>
  <c r="AS224" i="6"/>
  <c r="AS203" i="6"/>
  <c r="AS61" i="6"/>
  <c r="AS67" i="6"/>
  <c r="AS54" i="6"/>
  <c r="AT2" i="4"/>
  <c r="AT2" i="40"/>
  <c r="AT2" i="37"/>
  <c r="AT2" i="34"/>
  <c r="AT2" i="31"/>
  <c r="AT2" i="28"/>
  <c r="AT60" i="20"/>
  <c r="AT2" i="21"/>
  <c r="AT2" i="22"/>
  <c r="AT2" i="20"/>
  <c r="AT2" i="19"/>
  <c r="AT2" i="16"/>
  <c r="AT2" i="17"/>
  <c r="AT2" i="18"/>
  <c r="AT2" i="15"/>
  <c r="AT2" i="14"/>
  <c r="AT2" i="13"/>
  <c r="AT2" i="12"/>
  <c r="AT2" i="11"/>
  <c r="AT2" i="10"/>
  <c r="AT2" i="9"/>
  <c r="AT2" i="7"/>
  <c r="AT2" i="8"/>
  <c r="AT233" i="6"/>
  <c r="AT235" i="6" s="1"/>
  <c r="AT21" i="17" s="1"/>
  <c r="AT313" i="6"/>
  <c r="AU314" i="6" s="1"/>
  <c r="AT319" i="6"/>
  <c r="AT321" i="6" s="1"/>
  <c r="AT241" i="6"/>
  <c r="AT243" i="6" s="1"/>
  <c r="AT20" i="16" s="1"/>
  <c r="AT176" i="6"/>
  <c r="AT177" i="6" s="1"/>
  <c r="AT282" i="6"/>
  <c r="AT284" i="6" s="1"/>
  <c r="AT276" i="6" s="1"/>
  <c r="AT277" i="6" s="1"/>
  <c r="AT270" i="6" s="1"/>
  <c r="AT249" i="6"/>
  <c r="AT251" i="6" s="1"/>
  <c r="AT21" i="18" s="1"/>
  <c r="AT147" i="6"/>
  <c r="AT209" i="6"/>
  <c r="AT120" i="6"/>
  <c r="AT122" i="6" s="1"/>
  <c r="AT127" i="6" s="1"/>
  <c r="AT128" i="6" s="1"/>
  <c r="AT132" i="6" s="1"/>
  <c r="AT182" i="6"/>
  <c r="AT184" i="6" s="1"/>
  <c r="AT189" i="6" s="1"/>
  <c r="AT190" i="6" s="1"/>
  <c r="AT194" i="6" s="1"/>
  <c r="AT114" i="6"/>
  <c r="AT115" i="6" s="1"/>
  <c r="AT92" i="6"/>
  <c r="AT52" i="6"/>
  <c r="AT72" i="6"/>
  <c r="AT32" i="6"/>
  <c r="AT2" i="6"/>
  <c r="AT61" i="20"/>
  <c r="AT67" i="20" s="1"/>
  <c r="AS141" i="6"/>
  <c r="AS162" i="6"/>
  <c r="AU59" i="20"/>
  <c r="AU53" i="20"/>
  <c r="AU54" i="20" s="1"/>
  <c r="AU58" i="20" s="1"/>
  <c r="AU242" i="6"/>
  <c r="AU290" i="6"/>
  <c r="AU291" i="6" s="1"/>
  <c r="AU283" i="6"/>
  <c r="AU250" i="6"/>
  <c r="AU234" i="6"/>
  <c r="AU183" i="6"/>
  <c r="AU121" i="6"/>
  <c r="AU18" i="6"/>
  <c r="AU19" i="6" s="1"/>
  <c r="Q32" i="16"/>
  <c r="Q45" i="16"/>
  <c r="Q46" i="16" s="1"/>
  <c r="Q41" i="16"/>
  <c r="Q17" i="28" s="1"/>
  <c r="AR49" i="15"/>
  <c r="AR12" i="14"/>
  <c r="AR34" i="15"/>
  <c r="AR27" i="14"/>
  <c r="AR9" i="28" s="1"/>
  <c r="AL5" i="51" s="1"/>
  <c r="AT18" i="37"/>
  <c r="AT84" i="12"/>
  <c r="AT31" i="13"/>
  <c r="AT23" i="13"/>
  <c r="AT62" i="12"/>
  <c r="AV4" i="40"/>
  <c r="AV4" i="4"/>
  <c r="AV4" i="37"/>
  <c r="AV4" i="34"/>
  <c r="AV4" i="28"/>
  <c r="AV4" i="31"/>
  <c r="AV4" i="22"/>
  <c r="AV74" i="20"/>
  <c r="AV4" i="21"/>
  <c r="AV32" i="20"/>
  <c r="AV10" i="21"/>
  <c r="AV4" i="20"/>
  <c r="AV10" i="18"/>
  <c r="AV28" i="19"/>
  <c r="AV4" i="19"/>
  <c r="AV4" i="18"/>
  <c r="AV4" i="17"/>
  <c r="AV40" i="15"/>
  <c r="AV10" i="17"/>
  <c r="AV27" i="15"/>
  <c r="AV10" i="16"/>
  <c r="AV4" i="15"/>
  <c r="AV4" i="16"/>
  <c r="AV4" i="14"/>
  <c r="AV82" i="12"/>
  <c r="AV28" i="13"/>
  <c r="AV46" i="12"/>
  <c r="AV19" i="13"/>
  <c r="AV69" i="12"/>
  <c r="AV59" i="12"/>
  <c r="AV4" i="13"/>
  <c r="AV4" i="12"/>
  <c r="AV23" i="11"/>
  <c r="AV18" i="12"/>
  <c r="AV12" i="10"/>
  <c r="AV4" i="10"/>
  <c r="AV4" i="11"/>
  <c r="AV19" i="10"/>
  <c r="AV346" i="6"/>
  <c r="AV347" i="6" s="1"/>
  <c r="AV320" i="6"/>
  <c r="AV351" i="6"/>
  <c r="AV352" i="6" s="1"/>
  <c r="AV312" i="6"/>
  <c r="AV4" i="8"/>
  <c r="AV331" i="6"/>
  <c r="AV332" i="6" s="1"/>
  <c r="AV4" i="9"/>
  <c r="AV336" i="6"/>
  <c r="AV337" i="6" s="1"/>
  <c r="AV296" i="6"/>
  <c r="AV297" i="6" s="1"/>
  <c r="AV259" i="6"/>
  <c r="AV35" i="9"/>
  <c r="AV10" i="9"/>
  <c r="AV275" i="6"/>
  <c r="AV4" i="7"/>
  <c r="AV301" i="6"/>
  <c r="AV302" i="6" s="1"/>
  <c r="AV80" i="6"/>
  <c r="AV140" i="6"/>
  <c r="AV86" i="6"/>
  <c r="AV188" i="6"/>
  <c r="AV93" i="6"/>
  <c r="AV126" i="6"/>
  <c r="AV100" i="6"/>
  <c r="AV46" i="6"/>
  <c r="AV202" i="6"/>
  <c r="AV106" i="6"/>
  <c r="AV73" i="6"/>
  <c r="AV66" i="6"/>
  <c r="AV40" i="6"/>
  <c r="AV23" i="6"/>
  <c r="AV24" i="6" s="1"/>
  <c r="AV60" i="6"/>
  <c r="AV4" i="6"/>
  <c r="AV33" i="6"/>
  <c r="AV11" i="6"/>
  <c r="AV12" i="6" s="1"/>
  <c r="AV53" i="6"/>
  <c r="AW28" i="6"/>
  <c r="AV35" i="10"/>
  <c r="S28" i="10"/>
  <c r="AU81" i="6"/>
  <c r="AU87" i="6"/>
  <c r="AU74" i="6"/>
  <c r="AU14" i="37"/>
  <c r="AU72" i="12"/>
  <c r="AU76" i="12"/>
  <c r="AU77" i="12" s="1"/>
  <c r="AU64" i="12"/>
  <c r="R17" i="37"/>
  <c r="M29" i="49" s="1"/>
  <c r="S70" i="12"/>
  <c r="R17" i="11"/>
  <c r="R18" i="11" s="1"/>
  <c r="R21" i="19"/>
  <c r="R43" i="15"/>
  <c r="R45" i="15" s="1"/>
  <c r="R21" i="15"/>
  <c r="T22" i="15" s="1"/>
  <c r="AS8" i="37"/>
  <c r="AS16" i="12"/>
  <c r="AS41" i="10"/>
  <c r="AS43" i="10" s="1"/>
  <c r="AS25" i="14" s="1"/>
  <c r="AS26" i="14" s="1"/>
  <c r="AS34" i="10"/>
  <c r="AS21" i="10"/>
  <c r="AS26" i="31"/>
  <c r="AM41" i="51" s="1"/>
  <c r="AT11" i="21"/>
  <c r="AT13" i="21" s="1"/>
  <c r="AS29" i="9"/>
  <c r="Q48" i="17"/>
  <c r="Q23" i="34" s="1"/>
  <c r="K62" i="51" s="1"/>
  <c r="Q34" i="17"/>
  <c r="Q35" i="17" s="1"/>
  <c r="Q13" i="17" s="1"/>
  <c r="Q15" i="17" s="1"/>
  <c r="R15" i="37"/>
  <c r="M28" i="49" s="1"/>
  <c r="S60" i="12"/>
  <c r="K13" i="51" l="1"/>
  <c r="L22" i="49"/>
  <c r="Q16" i="31"/>
  <c r="R11" i="17"/>
  <c r="R10" i="31"/>
  <c r="L25" i="51" s="1"/>
  <c r="S41" i="15"/>
  <c r="AU18" i="37"/>
  <c r="AU31" i="13"/>
  <c r="AU23" i="13"/>
  <c r="AU84" i="12"/>
  <c r="AU62" i="12"/>
  <c r="AU2" i="40"/>
  <c r="AU2" i="4"/>
  <c r="AU2" i="37"/>
  <c r="AU2" i="34"/>
  <c r="AU2" i="31"/>
  <c r="AU2" i="28"/>
  <c r="AU60" i="20"/>
  <c r="AU2" i="22"/>
  <c r="AU2" i="21"/>
  <c r="AU2" i="19"/>
  <c r="AU2" i="20"/>
  <c r="AU2" i="17"/>
  <c r="AU2" i="18"/>
  <c r="AU2" i="14"/>
  <c r="AU2" i="16"/>
  <c r="AU2" i="15"/>
  <c r="AU2" i="13"/>
  <c r="AU2" i="12"/>
  <c r="AU2" i="11"/>
  <c r="AU2" i="10"/>
  <c r="AU2" i="8"/>
  <c r="AU2" i="9"/>
  <c r="AU2" i="7"/>
  <c r="AU313" i="6"/>
  <c r="AU319" i="6"/>
  <c r="AU321" i="6" s="1"/>
  <c r="AU241" i="6"/>
  <c r="AU243" i="6" s="1"/>
  <c r="AU20" i="16" s="1"/>
  <c r="AU282" i="6"/>
  <c r="AU284" i="6" s="1"/>
  <c r="AU276" i="6" s="1"/>
  <c r="AU277" i="6" s="1"/>
  <c r="AU270" i="6" s="1"/>
  <c r="AU249" i="6"/>
  <c r="AU251" i="6" s="1"/>
  <c r="AU21" i="18" s="1"/>
  <c r="AU233" i="6"/>
  <c r="AU235" i="6" s="1"/>
  <c r="AU21" i="17" s="1"/>
  <c r="AU209" i="6"/>
  <c r="AU147" i="6"/>
  <c r="AU120" i="6"/>
  <c r="AU122" i="6" s="1"/>
  <c r="AU127" i="6" s="1"/>
  <c r="AU128" i="6" s="1"/>
  <c r="AU132" i="6" s="1"/>
  <c r="AU32" i="6"/>
  <c r="AU182" i="6"/>
  <c r="AU184" i="6" s="1"/>
  <c r="AU189" i="6" s="1"/>
  <c r="AU190" i="6" s="1"/>
  <c r="AU194" i="6" s="1"/>
  <c r="AU114" i="6"/>
  <c r="AU115" i="6" s="1"/>
  <c r="AU92" i="6"/>
  <c r="AU176" i="6"/>
  <c r="AU177" i="6" s="1"/>
  <c r="AU52" i="6"/>
  <c r="AU72" i="6"/>
  <c r="AU2" i="6"/>
  <c r="R8" i="28"/>
  <c r="R19" i="16"/>
  <c r="R21" i="16" s="1"/>
  <c r="R26" i="11"/>
  <c r="R27" i="11" s="1"/>
  <c r="AW4" i="4"/>
  <c r="AW4" i="40"/>
  <c r="AW4" i="37"/>
  <c r="AW4" i="34"/>
  <c r="AW4" i="31"/>
  <c r="AW4" i="22"/>
  <c r="AW4" i="28"/>
  <c r="AW4" i="21"/>
  <c r="AW10" i="21"/>
  <c r="AW74" i="20"/>
  <c r="AW4" i="20"/>
  <c r="AW32" i="20"/>
  <c r="AW4" i="19"/>
  <c r="AW28" i="19"/>
  <c r="AW4" i="18"/>
  <c r="AW4" i="17"/>
  <c r="AW10" i="18"/>
  <c r="AW10" i="17"/>
  <c r="AW10" i="16"/>
  <c r="AW27" i="15"/>
  <c r="AW40" i="15"/>
  <c r="AW19" i="13"/>
  <c r="AW4" i="13"/>
  <c r="AW4" i="15"/>
  <c r="AW4" i="16"/>
  <c r="AW4" i="14"/>
  <c r="AW28" i="13"/>
  <c r="AW69" i="12"/>
  <c r="AW59" i="12"/>
  <c r="AW82" i="12"/>
  <c r="AW4" i="12"/>
  <c r="AW4" i="11"/>
  <c r="AW46" i="12"/>
  <c r="AW18" i="12"/>
  <c r="AW23" i="11"/>
  <c r="AW19" i="10"/>
  <c r="AW35" i="9"/>
  <c r="AW12" i="10"/>
  <c r="AW4" i="10"/>
  <c r="AW10" i="9"/>
  <c r="AW351" i="6"/>
  <c r="AW352" i="6" s="1"/>
  <c r="AW312" i="6"/>
  <c r="AW4" i="8"/>
  <c r="AW331" i="6"/>
  <c r="AW332" i="6" s="1"/>
  <c r="AW4" i="9"/>
  <c r="AW336" i="6"/>
  <c r="AW337" i="6" s="1"/>
  <c r="AW296" i="6"/>
  <c r="AW297" i="6" s="1"/>
  <c r="AW259" i="6"/>
  <c r="AW275" i="6"/>
  <c r="AW4" i="7"/>
  <c r="AW301" i="6"/>
  <c r="AW302" i="6" s="1"/>
  <c r="AW346" i="6"/>
  <c r="AW347" i="6" s="1"/>
  <c r="AW320" i="6"/>
  <c r="AW202" i="6"/>
  <c r="AW140" i="6"/>
  <c r="AW86" i="6"/>
  <c r="AW188" i="6"/>
  <c r="AW93" i="6"/>
  <c r="AW126" i="6"/>
  <c r="AW100" i="6"/>
  <c r="AW106" i="6"/>
  <c r="AW53" i="6"/>
  <c r="AW23" i="6"/>
  <c r="AW24" i="6" s="1"/>
  <c r="AW80" i="6"/>
  <c r="AW4" i="6"/>
  <c r="AW40" i="6"/>
  <c r="AW60" i="6"/>
  <c r="AW33" i="6"/>
  <c r="AW11" i="6"/>
  <c r="AW12" i="6" s="1"/>
  <c r="AW73" i="6"/>
  <c r="AX28" i="6"/>
  <c r="AW66" i="6"/>
  <c r="AW46" i="6"/>
  <c r="AW35" i="10"/>
  <c r="AV94" i="6"/>
  <c r="AV101" i="6"/>
  <c r="AV107" i="6"/>
  <c r="AT224" i="6"/>
  <c r="AT203" i="6"/>
  <c r="AT8" i="37"/>
  <c r="AT16" i="12"/>
  <c r="AT34" i="10"/>
  <c r="AT21" i="10"/>
  <c r="AT41" i="10"/>
  <c r="AT43" i="10" s="1"/>
  <c r="AT25" i="14" s="1"/>
  <c r="AT26" i="14" s="1"/>
  <c r="S27" i="10"/>
  <c r="S29" i="10" s="1"/>
  <c r="T8" i="34"/>
  <c r="N47" i="51" s="1"/>
  <c r="T44" i="15"/>
  <c r="AV59" i="20"/>
  <c r="AV53" i="20"/>
  <c r="AV54" i="20" s="1"/>
  <c r="AV58" i="20" s="1"/>
  <c r="AV242" i="6"/>
  <c r="AV290" i="6"/>
  <c r="AV291" i="6" s="1"/>
  <c r="AV283" i="6"/>
  <c r="AV250" i="6"/>
  <c r="AV234" i="6"/>
  <c r="AV183" i="6"/>
  <c r="AV121" i="6"/>
  <c r="AV18" i="6"/>
  <c r="AV19" i="6" s="1"/>
  <c r="AT141" i="6"/>
  <c r="AT162" i="6"/>
  <c r="Q47" i="16"/>
  <c r="Q24" i="34" s="1"/>
  <c r="K63" i="51" s="1"/>
  <c r="Q33" i="16"/>
  <c r="Q34" i="16" s="1"/>
  <c r="Q13" i="16" s="1"/>
  <c r="Q15" i="16" s="1"/>
  <c r="AT67" i="6"/>
  <c r="AT61" i="6"/>
  <c r="AT54" i="6"/>
  <c r="AV314" i="6"/>
  <c r="AU61" i="20"/>
  <c r="AU67" i="20" s="1"/>
  <c r="AV87" i="6"/>
  <c r="AV74" i="6"/>
  <c r="AV81" i="6"/>
  <c r="AV34" i="6"/>
  <c r="AV47" i="6"/>
  <c r="AV41" i="6"/>
  <c r="AS19" i="37"/>
  <c r="AT83" i="12"/>
  <c r="AT85" i="12" s="1"/>
  <c r="AS49" i="15"/>
  <c r="AS12" i="14"/>
  <c r="AS34" i="15"/>
  <c r="AS27" i="14"/>
  <c r="AS9" i="28" s="1"/>
  <c r="AM5" i="51" s="1"/>
  <c r="Q18" i="31"/>
  <c r="R11" i="18"/>
  <c r="AU32" i="12"/>
  <c r="AU40" i="12"/>
  <c r="AU13" i="10"/>
  <c r="AU14" i="10" s="1"/>
  <c r="AT26" i="31"/>
  <c r="AN41" i="51" s="1"/>
  <c r="AU11" i="21"/>
  <c r="AU13" i="21" s="1"/>
  <c r="AT29" i="9"/>
  <c r="AV14" i="37"/>
  <c r="AV64" i="12"/>
  <c r="AV72" i="12"/>
  <c r="AV76" i="12"/>
  <c r="AV77" i="12" s="1"/>
  <c r="AV9" i="37"/>
  <c r="AV17" i="12"/>
  <c r="AV22" i="10"/>
  <c r="AV42" i="10"/>
  <c r="AV3" i="4"/>
  <c r="AV3" i="40"/>
  <c r="AV3" i="37"/>
  <c r="AV3" i="34"/>
  <c r="AV3" i="31"/>
  <c r="AV3" i="28"/>
  <c r="AV3" i="22"/>
  <c r="AV3" i="21"/>
  <c r="AV3" i="20"/>
  <c r="AV3" i="19"/>
  <c r="AV3" i="18"/>
  <c r="AV3" i="17"/>
  <c r="AV3" i="16"/>
  <c r="AV3" i="14"/>
  <c r="AV3" i="15"/>
  <c r="AV3" i="13"/>
  <c r="AV3" i="12"/>
  <c r="AV3" i="11"/>
  <c r="AV3" i="10"/>
  <c r="AV3" i="8"/>
  <c r="AV3" i="9"/>
  <c r="AV3" i="7"/>
  <c r="AV79" i="6"/>
  <c r="AV39" i="6"/>
  <c r="AV99" i="6"/>
  <c r="AV59" i="6"/>
  <c r="AV3" i="6"/>
  <c r="K33" i="51" l="1"/>
  <c r="L10" i="49"/>
  <c r="L4" i="51"/>
  <c r="M12" i="49"/>
  <c r="K31" i="51"/>
  <c r="L9" i="49"/>
  <c r="AV40" i="12"/>
  <c r="AV32" i="12"/>
  <c r="AV13" i="10"/>
  <c r="AV14" i="10" s="1"/>
  <c r="AW53" i="20"/>
  <c r="AW54" i="20" s="1"/>
  <c r="AW58" i="20" s="1"/>
  <c r="AW59" i="20"/>
  <c r="AW290" i="6"/>
  <c r="AW291" i="6" s="1"/>
  <c r="AW283" i="6"/>
  <c r="AW250" i="6"/>
  <c r="AW234" i="6"/>
  <c r="AW242" i="6"/>
  <c r="AW183" i="6"/>
  <c r="AW121" i="6"/>
  <c r="AW18" i="6"/>
  <c r="AW19" i="6" s="1"/>
  <c r="R14" i="31"/>
  <c r="L29" i="51" s="1"/>
  <c r="S24" i="11"/>
  <c r="AU61" i="6"/>
  <c r="AU54" i="6"/>
  <c r="AU67" i="6"/>
  <c r="AV2" i="40"/>
  <c r="AV2" i="4"/>
  <c r="AV2" i="37"/>
  <c r="AV2" i="34"/>
  <c r="AV2" i="31"/>
  <c r="AV2" i="28"/>
  <c r="AV2" i="22"/>
  <c r="AV60" i="20"/>
  <c r="AV2" i="21"/>
  <c r="AV2" i="20"/>
  <c r="AV2" i="19"/>
  <c r="AV2" i="18"/>
  <c r="AV2" i="17"/>
  <c r="AV2" i="16"/>
  <c r="AV2" i="15"/>
  <c r="AV2" i="14"/>
  <c r="AV2" i="13"/>
  <c r="AV2" i="10"/>
  <c r="AV2" i="11"/>
  <c r="AV2" i="12"/>
  <c r="AV2" i="7"/>
  <c r="AV313" i="6"/>
  <c r="AV319" i="6"/>
  <c r="AV321" i="6" s="1"/>
  <c r="AV241" i="6"/>
  <c r="AV243" i="6" s="1"/>
  <c r="AV20" i="16" s="1"/>
  <c r="AV282" i="6"/>
  <c r="AV284" i="6" s="1"/>
  <c r="AV276" i="6" s="1"/>
  <c r="AV277" i="6" s="1"/>
  <c r="AV270" i="6" s="1"/>
  <c r="AV249" i="6"/>
  <c r="AV251" i="6" s="1"/>
  <c r="AV21" i="18" s="1"/>
  <c r="AV2" i="8"/>
  <c r="AV233" i="6"/>
  <c r="AV235" i="6" s="1"/>
  <c r="AV21" i="17" s="1"/>
  <c r="AV2" i="9"/>
  <c r="AV209" i="6"/>
  <c r="AV120" i="6"/>
  <c r="AV122" i="6" s="1"/>
  <c r="AV127" i="6" s="1"/>
  <c r="AV128" i="6" s="1"/>
  <c r="AV132" i="6" s="1"/>
  <c r="AV182" i="6"/>
  <c r="AV184" i="6" s="1"/>
  <c r="AV189" i="6" s="1"/>
  <c r="AV190" i="6" s="1"/>
  <c r="AV194" i="6" s="1"/>
  <c r="AV114" i="6"/>
  <c r="AV115" i="6" s="1"/>
  <c r="AV92" i="6"/>
  <c r="AV176" i="6"/>
  <c r="AV177" i="6" s="1"/>
  <c r="AV147" i="6"/>
  <c r="AV32" i="6"/>
  <c r="AV72" i="6"/>
  <c r="AV2" i="6"/>
  <c r="AV52" i="6"/>
  <c r="AV61" i="20"/>
  <c r="AV67" i="20" s="1"/>
  <c r="AW9" i="37"/>
  <c r="AW17" i="12"/>
  <c r="AW22" i="10"/>
  <c r="AW42" i="10"/>
  <c r="AW34" i="6"/>
  <c r="AW47" i="6"/>
  <c r="AW41" i="6"/>
  <c r="R19" i="34"/>
  <c r="L58" i="51" s="1"/>
  <c r="R12" i="16"/>
  <c r="R26" i="16"/>
  <c r="T27" i="16" s="1"/>
  <c r="AU8" i="37"/>
  <c r="AU16" i="12"/>
  <c r="AU34" i="10"/>
  <c r="AU21" i="10"/>
  <c r="AU41" i="10"/>
  <c r="AU43" i="10" s="1"/>
  <c r="AU25" i="14" s="1"/>
  <c r="AU26" i="14" s="1"/>
  <c r="S53" i="12"/>
  <c r="S54" i="12" s="1"/>
  <c r="S23" i="10"/>
  <c r="S24" i="10" s="1"/>
  <c r="S11" i="11"/>
  <c r="S12" i="11" s="1"/>
  <c r="AT49" i="15"/>
  <c r="AT34" i="15"/>
  <c r="AT12" i="14"/>
  <c r="AT27" i="14"/>
  <c r="AT9" i="28" s="1"/>
  <c r="AN5" i="51" s="1"/>
  <c r="AW314" i="6"/>
  <c r="AW14" i="37"/>
  <c r="AW76" i="12"/>
  <c r="AW77" i="12" s="1"/>
  <c r="AW64" i="12"/>
  <c r="AW72" i="12"/>
  <c r="R40" i="17"/>
  <c r="R41" i="17" s="1"/>
  <c r="AU26" i="31"/>
  <c r="AO41" i="51" s="1"/>
  <c r="AV11" i="21"/>
  <c r="AV13" i="21" s="1"/>
  <c r="AU29" i="9"/>
  <c r="R27" i="18"/>
  <c r="R28" i="18" s="1"/>
  <c r="R40" i="18"/>
  <c r="R41" i="18" s="1"/>
  <c r="AW94" i="6"/>
  <c r="AW101" i="6"/>
  <c r="AW107" i="6"/>
  <c r="AT19" i="37"/>
  <c r="AU83" i="12"/>
  <c r="AU85" i="12" s="1"/>
  <c r="AU224" i="6"/>
  <c r="AU203" i="6"/>
  <c r="AX4" i="4"/>
  <c r="AX4" i="40"/>
  <c r="AX4" i="37"/>
  <c r="AX4" i="34"/>
  <c r="AX4" i="31"/>
  <c r="AX4" i="28"/>
  <c r="AX4" i="21"/>
  <c r="AX10" i="21"/>
  <c r="AX4" i="22"/>
  <c r="AX74" i="20"/>
  <c r="AX28" i="19"/>
  <c r="AX32" i="20"/>
  <c r="AX4" i="19"/>
  <c r="AX4" i="20"/>
  <c r="AX4" i="17"/>
  <c r="AX10" i="18"/>
  <c r="AX10" i="16"/>
  <c r="AX10" i="17"/>
  <c r="AX4" i="18"/>
  <c r="AX4" i="16"/>
  <c r="AX40" i="15"/>
  <c r="AX4" i="15"/>
  <c r="AX27" i="15"/>
  <c r="AX19" i="13"/>
  <c r="AX69" i="12"/>
  <c r="AX59" i="12"/>
  <c r="AX4" i="14"/>
  <c r="AX4" i="13"/>
  <c r="AX82" i="12"/>
  <c r="AX28" i="13"/>
  <c r="AX4" i="12"/>
  <c r="AX46" i="12"/>
  <c r="AX18" i="12"/>
  <c r="AX4" i="9"/>
  <c r="AX35" i="9"/>
  <c r="AX12" i="10"/>
  <c r="AX4" i="10"/>
  <c r="AX10" i="9"/>
  <c r="AX331" i="6"/>
  <c r="AX332" i="6" s="1"/>
  <c r="AX23" i="11"/>
  <c r="AX4" i="11"/>
  <c r="AX19" i="10"/>
  <c r="AX336" i="6"/>
  <c r="AX337" i="6" s="1"/>
  <c r="AX4" i="8"/>
  <c r="AX296" i="6"/>
  <c r="AX297" i="6" s="1"/>
  <c r="AX259" i="6"/>
  <c r="AX275" i="6"/>
  <c r="AX4" i="7"/>
  <c r="AX301" i="6"/>
  <c r="AX302" i="6" s="1"/>
  <c r="AX346" i="6"/>
  <c r="AX347" i="6" s="1"/>
  <c r="AX320" i="6"/>
  <c r="AX351" i="6"/>
  <c r="AX352" i="6" s="1"/>
  <c r="AX312" i="6"/>
  <c r="AX188" i="6"/>
  <c r="AX93" i="6"/>
  <c r="AX126" i="6"/>
  <c r="AX100" i="6"/>
  <c r="AX106" i="6"/>
  <c r="AX202" i="6"/>
  <c r="AX60" i="6"/>
  <c r="AX80" i="6"/>
  <c r="AX140" i="6"/>
  <c r="AX86" i="6"/>
  <c r="AX33" i="6"/>
  <c r="AX11" i="6"/>
  <c r="AX12" i="6" s="1"/>
  <c r="AX4" i="6"/>
  <c r="AX73" i="6"/>
  <c r="AX53" i="6"/>
  <c r="AY28" i="6"/>
  <c r="AX66" i="6"/>
  <c r="AX46" i="6"/>
  <c r="AX40" i="6"/>
  <c r="AX23" i="6"/>
  <c r="AX24" i="6" s="1"/>
  <c r="AX35" i="10"/>
  <c r="AW3" i="4"/>
  <c r="AW3" i="40"/>
  <c r="AW3" i="37"/>
  <c r="AW3" i="34"/>
  <c r="AW3" i="31"/>
  <c r="AW3" i="28"/>
  <c r="AW3" i="22"/>
  <c r="AW3" i="20"/>
  <c r="AW3" i="21"/>
  <c r="AW3" i="19"/>
  <c r="AW3" i="17"/>
  <c r="AW3" i="18"/>
  <c r="AW3" i="16"/>
  <c r="AW3" i="14"/>
  <c r="AW3" i="15"/>
  <c r="AW3" i="13"/>
  <c r="AW3" i="11"/>
  <c r="AW3" i="12"/>
  <c r="AW3" i="10"/>
  <c r="AW3" i="9"/>
  <c r="AW3" i="7"/>
  <c r="AW3" i="8"/>
  <c r="AW79" i="6"/>
  <c r="AW99" i="6"/>
  <c r="AW3" i="6"/>
  <c r="AW39" i="6"/>
  <c r="AW59" i="6"/>
  <c r="AV18" i="37"/>
  <c r="AV23" i="13"/>
  <c r="AV31" i="13"/>
  <c r="AV84" i="12"/>
  <c r="AV62" i="12"/>
  <c r="Q17" i="31"/>
  <c r="R11" i="16"/>
  <c r="AW74" i="6"/>
  <c r="AW81" i="6"/>
  <c r="AW87" i="6"/>
  <c r="AU141" i="6"/>
  <c r="AU162" i="6"/>
  <c r="K32" i="51" l="1"/>
  <c r="L8" i="49"/>
  <c r="S16" i="19"/>
  <c r="S17" i="19" s="1"/>
  <c r="S42" i="15"/>
  <c r="S20" i="15"/>
  <c r="S25" i="11"/>
  <c r="R46" i="18"/>
  <c r="R47" i="18" s="1"/>
  <c r="R42" i="18"/>
  <c r="R18" i="28" s="1"/>
  <c r="R33" i="18"/>
  <c r="S10" i="37"/>
  <c r="N26" i="49" s="1"/>
  <c r="S24" i="12"/>
  <c r="S26" i="12" s="1"/>
  <c r="S31" i="12" s="1"/>
  <c r="T20" i="10"/>
  <c r="T14" i="16"/>
  <c r="T28" i="16"/>
  <c r="T20" i="34" s="1"/>
  <c r="N59" i="51" s="1"/>
  <c r="AV141" i="6"/>
  <c r="AV162" i="6"/>
  <c r="AY4" i="4"/>
  <c r="AY4" i="40"/>
  <c r="AY4" i="37"/>
  <c r="AY4" i="34"/>
  <c r="AY4" i="31"/>
  <c r="AY4" i="28"/>
  <c r="AY4" i="22"/>
  <c r="AY74" i="20"/>
  <c r="AY4" i="21"/>
  <c r="AY10" i="21"/>
  <c r="AY32" i="20"/>
  <c r="AY10" i="18"/>
  <c r="AY28" i="19"/>
  <c r="AY4" i="19"/>
  <c r="AY4" i="18"/>
  <c r="AY4" i="20"/>
  <c r="AY10" i="17"/>
  <c r="AY4" i="15"/>
  <c r="AY4" i="17"/>
  <c r="AY40" i="15"/>
  <c r="AY4" i="16"/>
  <c r="AY4" i="14"/>
  <c r="AY27" i="15"/>
  <c r="AY10" i="16"/>
  <c r="AY28" i="13"/>
  <c r="AY19" i="13"/>
  <c r="AY59" i="12"/>
  <c r="AY4" i="13"/>
  <c r="AY82" i="12"/>
  <c r="AY46" i="12"/>
  <c r="AY18" i="12"/>
  <c r="AY69" i="12"/>
  <c r="AY4" i="12"/>
  <c r="AY35" i="9"/>
  <c r="AY4" i="8"/>
  <c r="AY12" i="10"/>
  <c r="AY4" i="10"/>
  <c r="AY346" i="6"/>
  <c r="AY347" i="6" s="1"/>
  <c r="AY23" i="11"/>
  <c r="AY4" i="11"/>
  <c r="AY19" i="10"/>
  <c r="AY4" i="9"/>
  <c r="AY4" i="7"/>
  <c r="AY351" i="6"/>
  <c r="AY352" i="6" s="1"/>
  <c r="AY331" i="6"/>
  <c r="AY332" i="6" s="1"/>
  <c r="AY296" i="6"/>
  <c r="AY297" i="6" s="1"/>
  <c r="AY336" i="6"/>
  <c r="AY337" i="6" s="1"/>
  <c r="AY259" i="6"/>
  <c r="AY275" i="6"/>
  <c r="AY301" i="6"/>
  <c r="AY302" i="6" s="1"/>
  <c r="AY10" i="9"/>
  <c r="AY320" i="6"/>
  <c r="AY312" i="6"/>
  <c r="AY188" i="6"/>
  <c r="AY126" i="6"/>
  <c r="AY100" i="6"/>
  <c r="AY106" i="6"/>
  <c r="AY202" i="6"/>
  <c r="AY66" i="6"/>
  <c r="AY80" i="6"/>
  <c r="AY140" i="6"/>
  <c r="AY86" i="6"/>
  <c r="AY93" i="6"/>
  <c r="AY40" i="6"/>
  <c r="AZ28" i="6"/>
  <c r="AY60" i="6"/>
  <c r="AY4" i="6"/>
  <c r="AY33" i="6"/>
  <c r="AY11" i="6"/>
  <c r="AY12" i="6" s="1"/>
  <c r="AY73" i="6"/>
  <c r="AY53" i="6"/>
  <c r="AY46" i="6"/>
  <c r="AY23" i="6"/>
  <c r="AY24" i="6" s="1"/>
  <c r="AY35" i="10"/>
  <c r="R29" i="18"/>
  <c r="R22" i="34" s="1"/>
  <c r="L61" i="51" s="1"/>
  <c r="R14" i="18"/>
  <c r="S16" i="37"/>
  <c r="S63" i="12"/>
  <c r="S65" i="12" s="1"/>
  <c r="S71" i="12"/>
  <c r="S73" i="12" s="1"/>
  <c r="AX101" i="6"/>
  <c r="AX107" i="6"/>
  <c r="AX94" i="6"/>
  <c r="AW18" i="37"/>
  <c r="AW31" i="13"/>
  <c r="AW84" i="12"/>
  <c r="AW23" i="13"/>
  <c r="AW62" i="12"/>
  <c r="AU49" i="15"/>
  <c r="AU12" i="14"/>
  <c r="AU34" i="15"/>
  <c r="AU27" i="14"/>
  <c r="AU9" i="28" s="1"/>
  <c r="AO5" i="51" s="1"/>
  <c r="AV54" i="6"/>
  <c r="AV67" i="6"/>
  <c r="AV61" i="6"/>
  <c r="AV26" i="31"/>
  <c r="AP41" i="51" s="1"/>
  <c r="AW11" i="21"/>
  <c r="AW13" i="21" s="1"/>
  <c r="AV29" i="9"/>
  <c r="AW40" i="12"/>
  <c r="AW32" i="12"/>
  <c r="AW13" i="10"/>
  <c r="AW14" i="10" s="1"/>
  <c r="AX74" i="6"/>
  <c r="AX81" i="6"/>
  <c r="AX87" i="6"/>
  <c r="AX9" i="37"/>
  <c r="AX17" i="12"/>
  <c r="AX42" i="10"/>
  <c r="AX22" i="10"/>
  <c r="AU19" i="37"/>
  <c r="AV83" i="12"/>
  <c r="AV85" i="12" s="1"/>
  <c r="R42" i="17"/>
  <c r="R16" i="28" s="1"/>
  <c r="R46" i="17"/>
  <c r="R47" i="17" s="1"/>
  <c r="R33" i="17"/>
  <c r="AW2" i="4"/>
  <c r="AW2" i="40"/>
  <c r="AW2" i="37"/>
  <c r="AW2" i="34"/>
  <c r="AW2" i="31"/>
  <c r="AW2" i="28"/>
  <c r="AW2" i="22"/>
  <c r="AW60" i="20"/>
  <c r="AW61" i="20" s="1"/>
  <c r="AW67" i="20" s="1"/>
  <c r="AW2" i="21"/>
  <c r="AW2" i="20"/>
  <c r="AW2" i="19"/>
  <c r="AW2" i="17"/>
  <c r="AW2" i="18"/>
  <c r="AW2" i="15"/>
  <c r="AW2" i="13"/>
  <c r="AW2" i="14"/>
  <c r="AW2" i="16"/>
  <c r="AW2" i="12"/>
  <c r="AW2" i="11"/>
  <c r="AW2" i="10"/>
  <c r="AW319" i="6"/>
  <c r="AW321" i="6" s="1"/>
  <c r="AW241" i="6"/>
  <c r="AW243" i="6" s="1"/>
  <c r="AW20" i="16" s="1"/>
  <c r="AW282" i="6"/>
  <c r="AW284" i="6" s="1"/>
  <c r="AW276" i="6" s="1"/>
  <c r="AW277" i="6" s="1"/>
  <c r="AW270" i="6" s="1"/>
  <c r="AW249" i="6"/>
  <c r="AW251" i="6" s="1"/>
  <c r="AW21" i="18" s="1"/>
  <c r="AW2" i="8"/>
  <c r="AW233" i="6"/>
  <c r="AW235" i="6" s="1"/>
  <c r="AW21" i="17" s="1"/>
  <c r="AW2" i="9"/>
  <c r="AW2" i="7"/>
  <c r="AW313" i="6"/>
  <c r="AX314" i="6" s="1"/>
  <c r="AW209" i="6"/>
  <c r="AW120" i="6"/>
  <c r="AW122" i="6" s="1"/>
  <c r="AW127" i="6" s="1"/>
  <c r="AW128" i="6" s="1"/>
  <c r="AW132" i="6" s="1"/>
  <c r="AW182" i="6"/>
  <c r="AW184" i="6" s="1"/>
  <c r="AW189" i="6" s="1"/>
  <c r="AW190" i="6" s="1"/>
  <c r="AW194" i="6" s="1"/>
  <c r="AW114" i="6"/>
  <c r="AW115" i="6" s="1"/>
  <c r="AW92" i="6"/>
  <c r="AW176" i="6"/>
  <c r="AW177" i="6" s="1"/>
  <c r="AW147" i="6"/>
  <c r="AW72" i="6"/>
  <c r="AW32" i="6"/>
  <c r="AW2" i="6"/>
  <c r="AW52" i="6"/>
  <c r="R39" i="16"/>
  <c r="R40" i="16" s="1"/>
  <c r="AX3" i="4"/>
  <c r="AX3" i="40"/>
  <c r="AX3" i="37"/>
  <c r="AX3" i="34"/>
  <c r="AX3" i="31"/>
  <c r="AX3" i="28"/>
  <c r="AX3" i="21"/>
  <c r="AX3" i="22"/>
  <c r="AX3" i="20"/>
  <c r="AX3" i="19"/>
  <c r="AX3" i="16"/>
  <c r="AX3" i="17"/>
  <c r="AX3" i="18"/>
  <c r="AX3" i="15"/>
  <c r="AX3" i="13"/>
  <c r="AX3" i="14"/>
  <c r="AX3" i="12"/>
  <c r="AX3" i="11"/>
  <c r="AX3" i="10"/>
  <c r="AX3" i="9"/>
  <c r="AX3" i="7"/>
  <c r="AX3" i="8"/>
  <c r="AX99" i="6"/>
  <c r="AX79" i="6"/>
  <c r="AX39" i="6"/>
  <c r="AX59" i="6"/>
  <c r="AX3" i="6"/>
  <c r="AX59" i="20"/>
  <c r="AX53" i="20"/>
  <c r="AX54" i="20" s="1"/>
  <c r="AX58" i="20" s="1"/>
  <c r="AX283" i="6"/>
  <c r="AX250" i="6"/>
  <c r="AX242" i="6"/>
  <c r="AX290" i="6"/>
  <c r="AX291" i="6" s="1"/>
  <c r="AX183" i="6"/>
  <c r="AX234" i="6"/>
  <c r="AX121" i="6"/>
  <c r="AX18" i="6"/>
  <c r="AX19" i="6" s="1"/>
  <c r="AX41" i="6"/>
  <c r="AX47" i="6"/>
  <c r="AX34" i="6"/>
  <c r="AX14" i="37"/>
  <c r="AX64" i="12"/>
  <c r="AX72" i="12"/>
  <c r="AX76" i="12"/>
  <c r="AX77" i="12" s="1"/>
  <c r="AV203" i="6"/>
  <c r="AV224" i="6"/>
  <c r="AV8" i="37"/>
  <c r="AV16" i="12"/>
  <c r="AV34" i="10"/>
  <c r="AV21" i="10"/>
  <c r="AV41" i="10"/>
  <c r="AV43" i="10" s="1"/>
  <c r="AV25" i="14" s="1"/>
  <c r="AV26" i="14" s="1"/>
  <c r="L14" i="51" l="1"/>
  <c r="M23" i="49"/>
  <c r="L12" i="51"/>
  <c r="M21" i="49"/>
  <c r="AX2" i="4"/>
  <c r="AX2" i="40"/>
  <c r="AX2" i="37"/>
  <c r="AX2" i="34"/>
  <c r="AX2" i="31"/>
  <c r="AX2" i="28"/>
  <c r="AX2" i="21"/>
  <c r="AX2" i="22"/>
  <c r="AX60" i="20"/>
  <c r="AX2" i="20"/>
  <c r="AX2" i="19"/>
  <c r="AX2" i="17"/>
  <c r="AX2" i="18"/>
  <c r="AX2" i="16"/>
  <c r="AX2" i="15"/>
  <c r="AX2" i="14"/>
  <c r="AX2" i="13"/>
  <c r="AX2" i="12"/>
  <c r="AX2" i="10"/>
  <c r="AX2" i="9"/>
  <c r="AX2" i="11"/>
  <c r="AX282" i="6"/>
  <c r="AX284" i="6" s="1"/>
  <c r="AX276" i="6" s="1"/>
  <c r="AX277" i="6" s="1"/>
  <c r="AX270" i="6" s="1"/>
  <c r="AX249" i="6"/>
  <c r="AX251" i="6" s="1"/>
  <c r="AX21" i="18" s="1"/>
  <c r="AX2" i="8"/>
  <c r="AX233" i="6"/>
  <c r="AX235" i="6" s="1"/>
  <c r="AX21" i="17" s="1"/>
  <c r="AX209" i="6"/>
  <c r="AX2" i="7"/>
  <c r="AX313" i="6"/>
  <c r="AX319" i="6"/>
  <c r="AX321" i="6" s="1"/>
  <c r="AX241" i="6"/>
  <c r="AX243" i="6" s="1"/>
  <c r="AX20" i="16" s="1"/>
  <c r="AX182" i="6"/>
  <c r="AX184" i="6" s="1"/>
  <c r="AX189" i="6" s="1"/>
  <c r="AX190" i="6" s="1"/>
  <c r="AX194" i="6" s="1"/>
  <c r="AX120" i="6"/>
  <c r="AX122" i="6" s="1"/>
  <c r="AX127" i="6" s="1"/>
  <c r="AX128" i="6" s="1"/>
  <c r="AX132" i="6" s="1"/>
  <c r="AX114" i="6"/>
  <c r="AX115" i="6" s="1"/>
  <c r="AX92" i="6"/>
  <c r="AX52" i="6"/>
  <c r="AX176" i="6"/>
  <c r="AX177" i="6" s="1"/>
  <c r="AX147" i="6"/>
  <c r="AX32" i="6"/>
  <c r="AX2" i="6"/>
  <c r="AX72" i="6"/>
  <c r="AX61" i="20"/>
  <c r="AX67" i="20" s="1"/>
  <c r="AY74" i="6"/>
  <c r="AY81" i="6"/>
  <c r="AY87" i="6"/>
  <c r="AY14" i="37"/>
  <c r="AY64" i="12"/>
  <c r="AY72" i="12"/>
  <c r="AY76" i="12"/>
  <c r="AY77" i="12" s="1"/>
  <c r="R48" i="18"/>
  <c r="R25" i="34" s="1"/>
  <c r="L64" i="51" s="1"/>
  <c r="R34" i="18"/>
  <c r="R35" i="18" s="1"/>
  <c r="R13" i="18" s="1"/>
  <c r="R15" i="18" s="1"/>
  <c r="S15" i="37"/>
  <c r="N28" i="49" s="1"/>
  <c r="T60" i="12"/>
  <c r="AW61" i="6"/>
  <c r="AW54" i="6"/>
  <c r="AW67" i="6"/>
  <c r="R34" i="17"/>
  <c r="R35" i="17" s="1"/>
  <c r="R13" i="17" s="1"/>
  <c r="R15" i="17" s="1"/>
  <c r="R48" i="17"/>
  <c r="R23" i="34" s="1"/>
  <c r="L62" i="51" s="1"/>
  <c r="R32" i="16"/>
  <c r="R45" i="16"/>
  <c r="R46" i="16" s="1"/>
  <c r="R41" i="16"/>
  <c r="R17" i="28" s="1"/>
  <c r="AX18" i="37"/>
  <c r="AX23" i="13"/>
  <c r="AX84" i="12"/>
  <c r="AX62" i="12"/>
  <c r="AX31" i="13"/>
  <c r="AY59" i="20"/>
  <c r="AY53" i="20"/>
  <c r="AY54" i="20" s="1"/>
  <c r="AY58" i="20" s="1"/>
  <c r="AY250" i="6"/>
  <c r="AY242" i="6"/>
  <c r="AY290" i="6"/>
  <c r="AY291" i="6" s="1"/>
  <c r="AY283" i="6"/>
  <c r="AY234" i="6"/>
  <c r="AY121" i="6"/>
  <c r="AY183" i="6"/>
  <c r="AY18" i="6"/>
  <c r="AY19" i="6" s="1"/>
  <c r="AY314" i="6"/>
  <c r="S21" i="19"/>
  <c r="S43" i="15"/>
  <c r="S45" i="15" s="1"/>
  <c r="S21" i="15"/>
  <c r="U22" i="15" s="1"/>
  <c r="AW26" i="31"/>
  <c r="AQ41" i="51" s="1"/>
  <c r="AX11" i="21"/>
  <c r="AX13" i="21" s="1"/>
  <c r="AW29" i="9"/>
  <c r="AY107" i="6"/>
  <c r="AY94" i="6"/>
  <c r="AY101" i="6"/>
  <c r="T28" i="10"/>
  <c r="AY3" i="40"/>
  <c r="AY3" i="4"/>
  <c r="AY3" i="37"/>
  <c r="AY3" i="34"/>
  <c r="AY3" i="31"/>
  <c r="AY3" i="22"/>
  <c r="AY3" i="28"/>
  <c r="AY3" i="21"/>
  <c r="AY3" i="19"/>
  <c r="AY3" i="20"/>
  <c r="AY3" i="17"/>
  <c r="AY3" i="18"/>
  <c r="AY3" i="14"/>
  <c r="AY3" i="16"/>
  <c r="AY3" i="15"/>
  <c r="AY3" i="13"/>
  <c r="AY3" i="12"/>
  <c r="AY3" i="11"/>
  <c r="AY3" i="10"/>
  <c r="AY3" i="8"/>
  <c r="AY3" i="9"/>
  <c r="AY3" i="7"/>
  <c r="AY99" i="6"/>
  <c r="AY59" i="6"/>
  <c r="AY79" i="6"/>
  <c r="AY39" i="6"/>
  <c r="AY3" i="6"/>
  <c r="AV34" i="15"/>
  <c r="AV27" i="14"/>
  <c r="AV9" i="28" s="1"/>
  <c r="AP5" i="51" s="1"/>
  <c r="AV49" i="15"/>
  <c r="AV12" i="14"/>
  <c r="AW224" i="6"/>
  <c r="AW203" i="6"/>
  <c r="AX32" i="12"/>
  <c r="AX40" i="12"/>
  <c r="AX13" i="10"/>
  <c r="AX14" i="10" s="1"/>
  <c r="AV19" i="37"/>
  <c r="AW83" i="12"/>
  <c r="AW85" i="12" s="1"/>
  <c r="AW8" i="37"/>
  <c r="AW16" i="12"/>
  <c r="AW21" i="10"/>
  <c r="AW34" i="10"/>
  <c r="AW41" i="10"/>
  <c r="AW43" i="10" s="1"/>
  <c r="AW25" i="14" s="1"/>
  <c r="AW26" i="14" s="1"/>
  <c r="AY9" i="37"/>
  <c r="AY17" i="12"/>
  <c r="AY42" i="10"/>
  <c r="AY22" i="10"/>
  <c r="AZ4" i="4"/>
  <c r="AZ4" i="40"/>
  <c r="AZ4" i="37"/>
  <c r="AZ4" i="34"/>
  <c r="AZ4" i="28"/>
  <c r="AZ4" i="31"/>
  <c r="AZ4" i="22"/>
  <c r="AZ4" i="21"/>
  <c r="AZ10" i="21"/>
  <c r="AZ74" i="20"/>
  <c r="AZ32" i="20"/>
  <c r="AZ4" i="20"/>
  <c r="AZ28" i="19"/>
  <c r="AZ4" i="19"/>
  <c r="AZ4" i="18"/>
  <c r="AZ10" i="18"/>
  <c r="AZ10" i="17"/>
  <c r="AZ27" i="15"/>
  <c r="AZ4" i="17"/>
  <c r="AZ40" i="15"/>
  <c r="AZ4" i="15"/>
  <c r="AZ4" i="16"/>
  <c r="AZ4" i="14"/>
  <c r="AZ10" i="16"/>
  <c r="AZ19" i="13"/>
  <c r="AZ4" i="13"/>
  <c r="AZ82" i="12"/>
  <c r="AZ28" i="13"/>
  <c r="AZ46" i="12"/>
  <c r="AZ23" i="11"/>
  <c r="AZ59" i="12"/>
  <c r="AZ18" i="12"/>
  <c r="AZ69" i="12"/>
  <c r="AZ4" i="12"/>
  <c r="AZ12" i="10"/>
  <c r="AZ4" i="10"/>
  <c r="AZ4" i="11"/>
  <c r="AZ19" i="10"/>
  <c r="AZ35" i="9"/>
  <c r="AZ4" i="8"/>
  <c r="AZ320" i="6"/>
  <c r="AZ336" i="6"/>
  <c r="AZ337" i="6" s="1"/>
  <c r="AZ259" i="6"/>
  <c r="AZ4" i="9"/>
  <c r="AZ275" i="6"/>
  <c r="AZ301" i="6"/>
  <c r="AZ302" i="6" s="1"/>
  <c r="AZ10" i="9"/>
  <c r="AZ4" i="7"/>
  <c r="AZ202" i="6"/>
  <c r="AZ346" i="6"/>
  <c r="AZ347" i="6" s="1"/>
  <c r="AZ312" i="6"/>
  <c r="AZ351" i="6"/>
  <c r="AZ352" i="6" s="1"/>
  <c r="AZ331" i="6"/>
  <c r="AZ332" i="6" s="1"/>
  <c r="AZ296" i="6"/>
  <c r="AZ297" i="6" s="1"/>
  <c r="AZ106" i="6"/>
  <c r="AZ73" i="6"/>
  <c r="AZ80" i="6"/>
  <c r="AZ140" i="6"/>
  <c r="AZ86" i="6"/>
  <c r="AZ93" i="6"/>
  <c r="AZ188" i="6"/>
  <c r="AZ126" i="6"/>
  <c r="AZ100" i="6"/>
  <c r="AZ46" i="6"/>
  <c r="AZ33" i="6"/>
  <c r="AZ11" i="6"/>
  <c r="AZ12" i="6" s="1"/>
  <c r="AZ53" i="6"/>
  <c r="BA28" i="6"/>
  <c r="AZ66" i="6"/>
  <c r="AZ40" i="6"/>
  <c r="AZ23" i="6"/>
  <c r="AZ24" i="6" s="1"/>
  <c r="AZ60" i="6"/>
  <c r="AZ4" i="6"/>
  <c r="AZ35" i="10"/>
  <c r="AW162" i="6"/>
  <c r="AW141" i="6"/>
  <c r="S17" i="37"/>
  <c r="N29" i="49" s="1"/>
  <c r="T70" i="12"/>
  <c r="S17" i="11"/>
  <c r="S18" i="11" s="1"/>
  <c r="AY47" i="6"/>
  <c r="AY41" i="6"/>
  <c r="AY34" i="6"/>
  <c r="L13" i="51" l="1"/>
  <c r="M22" i="49"/>
  <c r="U8" i="34"/>
  <c r="O47" i="51" s="1"/>
  <c r="U44" i="15"/>
  <c r="R16" i="31"/>
  <c r="S11" i="17"/>
  <c r="S10" i="31"/>
  <c r="M25" i="51" s="1"/>
  <c r="T41" i="15"/>
  <c r="AW19" i="37"/>
  <c r="AX83" i="12"/>
  <c r="AX85" i="12" s="1"/>
  <c r="AZ3" i="40"/>
  <c r="AZ3" i="4"/>
  <c r="AZ3" i="37"/>
  <c r="AZ3" i="34"/>
  <c r="AZ3" i="31"/>
  <c r="AZ3" i="28"/>
  <c r="AZ3" i="22"/>
  <c r="AZ3" i="21"/>
  <c r="AZ3" i="20"/>
  <c r="AZ3" i="19"/>
  <c r="AZ3" i="18"/>
  <c r="AZ3" i="17"/>
  <c r="AZ3" i="16"/>
  <c r="AZ3" i="15"/>
  <c r="AZ3" i="14"/>
  <c r="AZ3" i="13"/>
  <c r="AZ3" i="10"/>
  <c r="AZ3" i="11"/>
  <c r="AZ3" i="12"/>
  <c r="AZ3" i="7"/>
  <c r="AZ3" i="8"/>
  <c r="AZ3" i="9"/>
  <c r="AZ99" i="6"/>
  <c r="AZ79" i="6"/>
  <c r="AZ39" i="6"/>
  <c r="AZ59" i="6"/>
  <c r="AZ3" i="6"/>
  <c r="R47" i="16"/>
  <c r="R24" i="34" s="1"/>
  <c r="L63" i="51" s="1"/>
  <c r="R33" i="16"/>
  <c r="AX67" i="6"/>
  <c r="AX54" i="6"/>
  <c r="AX61" i="6"/>
  <c r="AZ47" i="6"/>
  <c r="AZ41" i="6"/>
  <c r="AZ34" i="6"/>
  <c r="R34" i="16"/>
  <c r="R13" i="16" s="1"/>
  <c r="R15" i="16" s="1"/>
  <c r="AX224" i="6"/>
  <c r="AX203" i="6"/>
  <c r="AW34" i="15"/>
  <c r="AW27" i="14"/>
  <c r="AW9" i="28" s="1"/>
  <c r="AQ5" i="51" s="1"/>
  <c r="AW49" i="15"/>
  <c r="AW12" i="14"/>
  <c r="AY32" i="12"/>
  <c r="AY40" i="12"/>
  <c r="AY13" i="10"/>
  <c r="AY14" i="10" s="1"/>
  <c r="AX8" i="37"/>
  <c r="AX16" i="12"/>
  <c r="AX34" i="10"/>
  <c r="AX21" i="10"/>
  <c r="AX41" i="10"/>
  <c r="AX43" i="10" s="1"/>
  <c r="AX25" i="14" s="1"/>
  <c r="AX26" i="14" s="1"/>
  <c r="BA4" i="4"/>
  <c r="BA4" i="40"/>
  <c r="BA4" i="37"/>
  <c r="BA4" i="34"/>
  <c r="BA4" i="31"/>
  <c r="BA4" i="22"/>
  <c r="BA4" i="28"/>
  <c r="BA10" i="21"/>
  <c r="BA4" i="20"/>
  <c r="BA74" i="20"/>
  <c r="BA4" i="21"/>
  <c r="BA4" i="19"/>
  <c r="BA32" i="20"/>
  <c r="BA28" i="19"/>
  <c r="BA10" i="18"/>
  <c r="BA10" i="17"/>
  <c r="BA4" i="17"/>
  <c r="BA4" i="18"/>
  <c r="BA40" i="15"/>
  <c r="BA4" i="15"/>
  <c r="BA4" i="16"/>
  <c r="BA4" i="14"/>
  <c r="BA10" i="16"/>
  <c r="BA27" i="15"/>
  <c r="BA19" i="13"/>
  <c r="BA4" i="13"/>
  <c r="BA82" i="12"/>
  <c r="BA28" i="13"/>
  <c r="BA46" i="12"/>
  <c r="BA4" i="11"/>
  <c r="BA59" i="12"/>
  <c r="BA18" i="12"/>
  <c r="BA69" i="12"/>
  <c r="BA4" i="12"/>
  <c r="BA23" i="11"/>
  <c r="BA12" i="10"/>
  <c r="BA4" i="10"/>
  <c r="BA19" i="10"/>
  <c r="BA336" i="6"/>
  <c r="BA337" i="6" s="1"/>
  <c r="BA4" i="9"/>
  <c r="BA4" i="7"/>
  <c r="BA35" i="9"/>
  <c r="BA275" i="6"/>
  <c r="BA301" i="6"/>
  <c r="BA302" i="6" s="1"/>
  <c r="BA10" i="9"/>
  <c r="BA346" i="6"/>
  <c r="BA347" i="6" s="1"/>
  <c r="BA320" i="6"/>
  <c r="BA312" i="6"/>
  <c r="BA351" i="6"/>
  <c r="BA352" i="6" s="1"/>
  <c r="BA331" i="6"/>
  <c r="BA332" i="6" s="1"/>
  <c r="BA296" i="6"/>
  <c r="BA297" i="6" s="1"/>
  <c r="BA4" i="8"/>
  <c r="BA259" i="6"/>
  <c r="BA202" i="6"/>
  <c r="BA80" i="6"/>
  <c r="BA4" i="6"/>
  <c r="BA140" i="6"/>
  <c r="BA86" i="6"/>
  <c r="BA93" i="6"/>
  <c r="BA188" i="6"/>
  <c r="BA126" i="6"/>
  <c r="BA100" i="6"/>
  <c r="BA106" i="6"/>
  <c r="BA53" i="6"/>
  <c r="BA23" i="6"/>
  <c r="BA24" i="6" s="1"/>
  <c r="BA73" i="6"/>
  <c r="BB28" i="6"/>
  <c r="BA66" i="6"/>
  <c r="BA46" i="6"/>
  <c r="BA40" i="6"/>
  <c r="BA60" i="6"/>
  <c r="BA33" i="6"/>
  <c r="BA11" i="6"/>
  <c r="BA12" i="6" s="1"/>
  <c r="BA35" i="10"/>
  <c r="AZ94" i="6"/>
  <c r="AZ101" i="6"/>
  <c r="AZ107" i="6"/>
  <c r="AX26" i="31"/>
  <c r="AR41" i="51" s="1"/>
  <c r="AY11" i="21"/>
  <c r="AY13" i="21" s="1"/>
  <c r="AX29" i="9"/>
  <c r="R18" i="31"/>
  <c r="S11" i="18"/>
  <c r="AY18" i="37"/>
  <c r="AY23" i="13"/>
  <c r="AY84" i="12"/>
  <c r="AY62" i="12"/>
  <c r="AY31" i="13"/>
  <c r="AZ14" i="37"/>
  <c r="AZ72" i="12"/>
  <c r="AZ76" i="12"/>
  <c r="AZ77" i="12" s="1"/>
  <c r="AZ64" i="12"/>
  <c r="S8" i="28"/>
  <c r="S19" i="16"/>
  <c r="S21" i="16" s="1"/>
  <c r="S26" i="11"/>
  <c r="S27" i="11" s="1"/>
  <c r="AZ9" i="37"/>
  <c r="AZ17" i="12"/>
  <c r="AZ42" i="10"/>
  <c r="AZ22" i="10"/>
  <c r="AX162" i="6"/>
  <c r="AX141" i="6"/>
  <c r="AZ59" i="20"/>
  <c r="AZ53" i="20"/>
  <c r="AZ54" i="20" s="1"/>
  <c r="AZ58" i="20" s="1"/>
  <c r="AZ234" i="6"/>
  <c r="AZ242" i="6"/>
  <c r="AZ183" i="6"/>
  <c r="AZ290" i="6"/>
  <c r="AZ291" i="6" s="1"/>
  <c r="AZ283" i="6"/>
  <c r="AZ250" i="6"/>
  <c r="AZ121" i="6"/>
  <c r="AZ18" i="6"/>
  <c r="AZ19" i="6" s="1"/>
  <c r="AZ74" i="6"/>
  <c r="AZ81" i="6"/>
  <c r="AZ87" i="6"/>
  <c r="AY2" i="4"/>
  <c r="AY2" i="40"/>
  <c r="AY2" i="37"/>
  <c r="AY2" i="34"/>
  <c r="AY2" i="28"/>
  <c r="AY2" i="31"/>
  <c r="AY60" i="20"/>
  <c r="AY2" i="21"/>
  <c r="AY2" i="22"/>
  <c r="AY2" i="20"/>
  <c r="AY2" i="18"/>
  <c r="AY2" i="19"/>
  <c r="AY2" i="17"/>
  <c r="AY2" i="15"/>
  <c r="AY2" i="16"/>
  <c r="AY2" i="14"/>
  <c r="AY2" i="13"/>
  <c r="AY2" i="12"/>
  <c r="AY2" i="8"/>
  <c r="AY2" i="11"/>
  <c r="AY2" i="10"/>
  <c r="AY2" i="9"/>
  <c r="AY2" i="7"/>
  <c r="AY282" i="6"/>
  <c r="AY284" i="6" s="1"/>
  <c r="AY276" i="6" s="1"/>
  <c r="AY277" i="6" s="1"/>
  <c r="AY270" i="6" s="1"/>
  <c r="AY249" i="6"/>
  <c r="AY251" i="6" s="1"/>
  <c r="AY21" i="18" s="1"/>
  <c r="AY313" i="6"/>
  <c r="AZ314" i="6" s="1"/>
  <c r="AY319" i="6"/>
  <c r="AY321" i="6" s="1"/>
  <c r="AY241" i="6"/>
  <c r="AY243" i="6" s="1"/>
  <c r="AY20" i="16" s="1"/>
  <c r="AY176" i="6"/>
  <c r="AY177" i="6" s="1"/>
  <c r="AY233" i="6"/>
  <c r="AY235" i="6" s="1"/>
  <c r="AY21" i="17" s="1"/>
  <c r="AY114" i="6"/>
  <c r="AY115" i="6" s="1"/>
  <c r="AY92" i="6"/>
  <c r="AY182" i="6"/>
  <c r="AY184" i="6" s="1"/>
  <c r="AY189" i="6" s="1"/>
  <c r="AY190" i="6" s="1"/>
  <c r="AY194" i="6" s="1"/>
  <c r="AY147" i="6"/>
  <c r="AY209" i="6"/>
  <c r="AY120" i="6"/>
  <c r="AY122" i="6" s="1"/>
  <c r="AY127" i="6" s="1"/>
  <c r="AY128" i="6" s="1"/>
  <c r="AY132" i="6" s="1"/>
  <c r="AY32" i="6"/>
  <c r="AY2" i="6"/>
  <c r="AY72" i="6"/>
  <c r="AY52" i="6"/>
  <c r="AY61" i="20"/>
  <c r="AY67" i="20" s="1"/>
  <c r="T27" i="10"/>
  <c r="T29" i="10" s="1"/>
  <c r="N12" i="49" l="1"/>
  <c r="M4" i="51"/>
  <c r="L33" i="51"/>
  <c r="M10" i="49"/>
  <c r="L31" i="51"/>
  <c r="M9" i="49"/>
  <c r="AZ32" i="12"/>
  <c r="AZ40" i="12"/>
  <c r="AZ13" i="10"/>
  <c r="AZ14" i="10" s="1"/>
  <c r="BA74" i="6"/>
  <c r="BA81" i="6"/>
  <c r="BA87" i="6"/>
  <c r="BA14" i="37"/>
  <c r="BA72" i="12"/>
  <c r="BA76" i="12"/>
  <c r="BA77" i="12" s="1"/>
  <c r="BA64" i="12"/>
  <c r="AY54" i="6"/>
  <c r="AY67" i="6"/>
  <c r="AY61" i="6"/>
  <c r="AZ18" i="37"/>
  <c r="AZ31" i="13"/>
  <c r="AZ23" i="13"/>
  <c r="AZ84" i="12"/>
  <c r="AZ62" i="12"/>
  <c r="T53" i="12"/>
  <c r="T54" i="12" s="1"/>
  <c r="T23" i="10"/>
  <c r="T24" i="10" s="1"/>
  <c r="T11" i="11"/>
  <c r="T12" i="11" s="1"/>
  <c r="S14" i="31"/>
  <c r="M29" i="51" s="1"/>
  <c r="T24" i="11"/>
  <c r="AY8" i="37"/>
  <c r="AY16" i="12"/>
  <c r="AY41" i="10"/>
  <c r="AY43" i="10" s="1"/>
  <c r="AY25" i="14" s="1"/>
  <c r="AY26" i="14" s="1"/>
  <c r="AY21" i="10"/>
  <c r="AY34" i="10"/>
  <c r="AY203" i="6"/>
  <c r="AY224" i="6"/>
  <c r="S19" i="34"/>
  <c r="M58" i="51" s="1"/>
  <c r="S26" i="16"/>
  <c r="U27" i="16" s="1"/>
  <c r="S12" i="16"/>
  <c r="BA34" i="6"/>
  <c r="BA47" i="6"/>
  <c r="BA41" i="6"/>
  <c r="AY26" i="31"/>
  <c r="AS41" i="51" s="1"/>
  <c r="AZ11" i="21"/>
  <c r="AZ13" i="21" s="1"/>
  <c r="AY29" i="9"/>
  <c r="BA9" i="37"/>
  <c r="BA17" i="12"/>
  <c r="BA42" i="10"/>
  <c r="BA22" i="10"/>
  <c r="BB4" i="4"/>
  <c r="BB4" i="40"/>
  <c r="BB4" i="37"/>
  <c r="BB4" i="34"/>
  <c r="BB4" i="31"/>
  <c r="BB10" i="21"/>
  <c r="BB4" i="28"/>
  <c r="BB4" i="21"/>
  <c r="BB4" i="22"/>
  <c r="BB74" i="20"/>
  <c r="BB32" i="20"/>
  <c r="BB4" i="20"/>
  <c r="BB28" i="19"/>
  <c r="BB4" i="19"/>
  <c r="BB10" i="18"/>
  <c r="BB10" i="17"/>
  <c r="BB4" i="16"/>
  <c r="BB4" i="17"/>
  <c r="BB4" i="18"/>
  <c r="BB10" i="16"/>
  <c r="BB4" i="15"/>
  <c r="BB27" i="15"/>
  <c r="BB40" i="15"/>
  <c r="BB82" i="12"/>
  <c r="BB19" i="13"/>
  <c r="BB4" i="13"/>
  <c r="BB4" i="14"/>
  <c r="BB28" i="13"/>
  <c r="BB46" i="12"/>
  <c r="BB69" i="12"/>
  <c r="BB59" i="12"/>
  <c r="BB18" i="12"/>
  <c r="BB4" i="12"/>
  <c r="BB23" i="11"/>
  <c r="BB4" i="11"/>
  <c r="BB19" i="10"/>
  <c r="BB4" i="10"/>
  <c r="BB10" i="9"/>
  <c r="BB4" i="9"/>
  <c r="BB4" i="7"/>
  <c r="BB351" i="6"/>
  <c r="BB352" i="6" s="1"/>
  <c r="BB35" i="9"/>
  <c r="BB4" i="8"/>
  <c r="BB12" i="10"/>
  <c r="BB301" i="6"/>
  <c r="BB302" i="6" s="1"/>
  <c r="BB346" i="6"/>
  <c r="BB347" i="6" s="1"/>
  <c r="BB320" i="6"/>
  <c r="BB312" i="6"/>
  <c r="BB188" i="6"/>
  <c r="BB331" i="6"/>
  <c r="BB332" i="6" s="1"/>
  <c r="BB296" i="6"/>
  <c r="BB297" i="6" s="1"/>
  <c r="BB259" i="6"/>
  <c r="BB336" i="6"/>
  <c r="BB337" i="6" s="1"/>
  <c r="BB275" i="6"/>
  <c r="BB202" i="6"/>
  <c r="BB80" i="6"/>
  <c r="BB140" i="6"/>
  <c r="BB86" i="6"/>
  <c r="BB33" i="6"/>
  <c r="BB11" i="6"/>
  <c r="BB12" i="6" s="1"/>
  <c r="BB93" i="6"/>
  <c r="BB126" i="6"/>
  <c r="BB100" i="6"/>
  <c r="BB106" i="6"/>
  <c r="BB60" i="6"/>
  <c r="BB73" i="6"/>
  <c r="BB53" i="6"/>
  <c r="BC28" i="6"/>
  <c r="BB66" i="6"/>
  <c r="BB46" i="6"/>
  <c r="BB40" i="6"/>
  <c r="BB23" i="6"/>
  <c r="BB24" i="6" s="1"/>
  <c r="BB4" i="6"/>
  <c r="BB35" i="10"/>
  <c r="AX49" i="15"/>
  <c r="AX34" i="15"/>
  <c r="AX27" i="14"/>
  <c r="AX9" i="28" s="1"/>
  <c r="AR5" i="51" s="1"/>
  <c r="AX12" i="14"/>
  <c r="R17" i="31"/>
  <c r="S11" i="16"/>
  <c r="AZ2" i="40"/>
  <c r="AZ2" i="4"/>
  <c r="AZ2" i="37"/>
  <c r="AZ2" i="34"/>
  <c r="AZ2" i="31"/>
  <c r="AZ2" i="28"/>
  <c r="AZ2" i="22"/>
  <c r="AZ60" i="20"/>
  <c r="AZ61" i="20" s="1"/>
  <c r="AZ67" i="20" s="1"/>
  <c r="AZ2" i="21"/>
  <c r="AZ2" i="18"/>
  <c r="AZ2" i="19"/>
  <c r="AZ2" i="20"/>
  <c r="AZ2" i="17"/>
  <c r="AZ2" i="14"/>
  <c r="AZ2" i="16"/>
  <c r="AZ2" i="15"/>
  <c r="AZ2" i="13"/>
  <c r="AZ2" i="12"/>
  <c r="AZ2" i="11"/>
  <c r="AZ2" i="10"/>
  <c r="AZ2" i="8"/>
  <c r="AZ249" i="6"/>
  <c r="AZ251" i="6" s="1"/>
  <c r="AZ21" i="18" s="1"/>
  <c r="AZ313" i="6"/>
  <c r="BA314" i="6" s="1"/>
  <c r="AZ2" i="9"/>
  <c r="AZ2" i="7"/>
  <c r="AZ319" i="6"/>
  <c r="AZ321" i="6" s="1"/>
  <c r="AZ241" i="6"/>
  <c r="AZ243" i="6" s="1"/>
  <c r="AZ20" i="16" s="1"/>
  <c r="AZ282" i="6"/>
  <c r="AZ284" i="6" s="1"/>
  <c r="AZ276" i="6" s="1"/>
  <c r="AZ277" i="6" s="1"/>
  <c r="AZ270" i="6" s="1"/>
  <c r="AZ182" i="6"/>
  <c r="AZ184" i="6" s="1"/>
  <c r="AZ189" i="6" s="1"/>
  <c r="AZ190" i="6" s="1"/>
  <c r="AZ194" i="6" s="1"/>
  <c r="AZ176" i="6"/>
  <c r="AZ177" i="6" s="1"/>
  <c r="AZ147" i="6"/>
  <c r="AZ209" i="6"/>
  <c r="AZ120" i="6"/>
  <c r="AZ122" i="6" s="1"/>
  <c r="AZ127" i="6" s="1"/>
  <c r="AZ128" i="6" s="1"/>
  <c r="AZ132" i="6" s="1"/>
  <c r="AZ233" i="6"/>
  <c r="AZ235" i="6" s="1"/>
  <c r="AZ21" i="17" s="1"/>
  <c r="AZ114" i="6"/>
  <c r="AZ115" i="6" s="1"/>
  <c r="AZ92" i="6"/>
  <c r="AZ32" i="6"/>
  <c r="AZ2" i="6"/>
  <c r="AZ72" i="6"/>
  <c r="AZ52" i="6"/>
  <c r="AY162" i="6"/>
  <c r="AY141" i="6"/>
  <c r="S27" i="18"/>
  <c r="S28" i="18" s="1"/>
  <c r="S40" i="18"/>
  <c r="S41" i="18" s="1"/>
  <c r="S40" i="17"/>
  <c r="S41" i="17" s="1"/>
  <c r="AX19" i="37"/>
  <c r="AY83" i="12"/>
  <c r="AY85" i="12" s="1"/>
  <c r="BA53" i="20"/>
  <c r="BA54" i="20" s="1"/>
  <c r="BA58" i="20" s="1"/>
  <c r="BA59" i="20"/>
  <c r="BA234" i="6"/>
  <c r="BA242" i="6"/>
  <c r="BA290" i="6"/>
  <c r="BA291" i="6" s="1"/>
  <c r="BA283" i="6"/>
  <c r="BA250" i="6"/>
  <c r="BA121" i="6"/>
  <c r="BA183" i="6"/>
  <c r="BA18" i="6"/>
  <c r="BA19" i="6" s="1"/>
  <c r="BA3" i="4"/>
  <c r="BA3" i="40"/>
  <c r="BA3" i="37"/>
  <c r="BA3" i="34"/>
  <c r="BA3" i="22"/>
  <c r="BA3" i="31"/>
  <c r="BA3" i="28"/>
  <c r="BA3" i="21"/>
  <c r="BA3" i="20"/>
  <c r="BA3" i="19"/>
  <c r="BA3" i="17"/>
  <c r="BA3" i="18"/>
  <c r="BA3" i="15"/>
  <c r="BA3" i="13"/>
  <c r="BA3" i="14"/>
  <c r="BA3" i="16"/>
  <c r="BA3" i="12"/>
  <c r="BA3" i="11"/>
  <c r="BA3" i="10"/>
  <c r="BA3" i="8"/>
  <c r="BA3" i="9"/>
  <c r="BA3" i="7"/>
  <c r="BA79" i="6"/>
  <c r="BA99" i="6"/>
  <c r="BA3" i="6"/>
  <c r="BA59" i="6"/>
  <c r="BA39" i="6"/>
  <c r="BA94" i="6"/>
  <c r="BA101" i="6"/>
  <c r="BA107" i="6"/>
  <c r="L32" i="51" l="1"/>
  <c r="M8" i="49"/>
  <c r="BB94" i="6"/>
  <c r="BB101" i="6"/>
  <c r="BB107" i="6"/>
  <c r="T10" i="37"/>
  <c r="O26" i="49" s="1"/>
  <c r="T24" i="12"/>
  <c r="T26" i="12" s="1"/>
  <c r="T31" i="12" s="1"/>
  <c r="U20" i="10"/>
  <c r="BA18" i="37"/>
  <c r="BA84" i="12"/>
  <c r="BA31" i="13"/>
  <c r="BA62" i="12"/>
  <c r="BA23" i="13"/>
  <c r="AZ54" i="6"/>
  <c r="AZ67" i="6"/>
  <c r="AZ61" i="6"/>
  <c r="BB3" i="4"/>
  <c r="BB3" i="40"/>
  <c r="BB3" i="37"/>
  <c r="BB3" i="34"/>
  <c r="BB3" i="31"/>
  <c r="BB3" i="21"/>
  <c r="BB3" i="28"/>
  <c r="BB3" i="22"/>
  <c r="BB3" i="20"/>
  <c r="BB3" i="19"/>
  <c r="BB3" i="17"/>
  <c r="BB3" i="18"/>
  <c r="BB3" i="16"/>
  <c r="BB3" i="15"/>
  <c r="BB3" i="13"/>
  <c r="BB3" i="14"/>
  <c r="BB3" i="12"/>
  <c r="BB3" i="10"/>
  <c r="BB3" i="9"/>
  <c r="BB3" i="11"/>
  <c r="BB3" i="8"/>
  <c r="BB3" i="7"/>
  <c r="BB79" i="6"/>
  <c r="BB99" i="6"/>
  <c r="BB3" i="6"/>
  <c r="BB39" i="6"/>
  <c r="BB59" i="6"/>
  <c r="BB14" i="37"/>
  <c r="BB76" i="12"/>
  <c r="BB77" i="12" s="1"/>
  <c r="BB64" i="12"/>
  <c r="BB72" i="12"/>
  <c r="T16" i="37"/>
  <c r="T63" i="12"/>
  <c r="T65" i="12" s="1"/>
  <c r="T71" i="12"/>
  <c r="T73" i="12" s="1"/>
  <c r="S39" i="16"/>
  <c r="S40" i="16" s="1"/>
  <c r="AZ26" i="31"/>
  <c r="AT41" i="51" s="1"/>
  <c r="BA11" i="21"/>
  <c r="BA13" i="21" s="1"/>
  <c r="AZ29" i="9"/>
  <c r="AY12" i="14"/>
  <c r="AY49" i="15"/>
  <c r="AY34" i="15"/>
  <c r="AY27" i="14"/>
  <c r="AY9" i="28" s="1"/>
  <c r="AS5" i="51" s="1"/>
  <c r="BA2" i="4"/>
  <c r="BA2" i="40"/>
  <c r="BA2" i="37"/>
  <c r="BA2" i="34"/>
  <c r="BA2" i="31"/>
  <c r="BA2" i="28"/>
  <c r="BA2" i="22"/>
  <c r="BA2" i="21"/>
  <c r="BA2" i="20"/>
  <c r="BA60" i="20"/>
  <c r="BA2" i="19"/>
  <c r="BA2" i="18"/>
  <c r="BA2" i="17"/>
  <c r="BA2" i="14"/>
  <c r="BA2" i="16"/>
  <c r="BA2" i="15"/>
  <c r="BA2" i="13"/>
  <c r="BA2" i="11"/>
  <c r="BA2" i="12"/>
  <c r="BA2" i="10"/>
  <c r="BA2" i="9"/>
  <c r="BA319" i="6"/>
  <c r="BA321" i="6" s="1"/>
  <c r="BA233" i="6"/>
  <c r="BA235" i="6" s="1"/>
  <c r="BA21" i="17" s="1"/>
  <c r="BA2" i="8"/>
  <c r="BA313" i="6"/>
  <c r="BB314" i="6" s="1"/>
  <c r="BA2" i="7"/>
  <c r="BA241" i="6"/>
  <c r="BA243" i="6" s="1"/>
  <c r="BA20" i="16" s="1"/>
  <c r="BA182" i="6"/>
  <c r="BA184" i="6" s="1"/>
  <c r="BA189" i="6" s="1"/>
  <c r="BA190" i="6" s="1"/>
  <c r="BA194" i="6" s="1"/>
  <c r="BA282" i="6"/>
  <c r="BA284" i="6" s="1"/>
  <c r="BA276" i="6" s="1"/>
  <c r="BA277" i="6" s="1"/>
  <c r="BA270" i="6" s="1"/>
  <c r="BA249" i="6"/>
  <c r="BA251" i="6" s="1"/>
  <c r="BA21" i="18" s="1"/>
  <c r="BA176" i="6"/>
  <c r="BA177" i="6" s="1"/>
  <c r="BA147" i="6"/>
  <c r="BA72" i="6"/>
  <c r="BA2" i="6"/>
  <c r="BA209" i="6"/>
  <c r="BA120" i="6"/>
  <c r="BA122" i="6" s="1"/>
  <c r="BA127" i="6" s="1"/>
  <c r="BA128" i="6" s="1"/>
  <c r="BA132" i="6" s="1"/>
  <c r="BA114" i="6"/>
  <c r="BA115" i="6" s="1"/>
  <c r="BA92" i="6"/>
  <c r="BA32" i="6"/>
  <c r="BA52" i="6"/>
  <c r="S42" i="18"/>
  <c r="S18" i="28" s="1"/>
  <c r="S46" i="18"/>
  <c r="S47" i="18" s="1"/>
  <c r="S33" i="18"/>
  <c r="AZ224" i="6"/>
  <c r="AZ203" i="6"/>
  <c r="BA61" i="20"/>
  <c r="BA67" i="20" s="1"/>
  <c r="S29" i="18"/>
  <c r="S22" i="34" s="1"/>
  <c r="M61" i="51" s="1"/>
  <c r="S14" i="18"/>
  <c r="BB74" i="6"/>
  <c r="BB81" i="6"/>
  <c r="BB87" i="6"/>
  <c r="BB41" i="6"/>
  <c r="BB47" i="6"/>
  <c r="BB34" i="6"/>
  <c r="AY19" i="37"/>
  <c r="AZ83" i="12"/>
  <c r="AZ85" i="12" s="1"/>
  <c r="BA40" i="12"/>
  <c r="BA32" i="12"/>
  <c r="BA13" i="10"/>
  <c r="BA14" i="10" s="1"/>
  <c r="S46" i="17"/>
  <c r="S47" i="17" s="1"/>
  <c r="S42" i="17"/>
  <c r="S16" i="28" s="1"/>
  <c r="S33" i="17"/>
  <c r="BC4" i="40"/>
  <c r="BC4" i="4"/>
  <c r="BC4" i="37"/>
  <c r="BC4" i="34"/>
  <c r="BC4" i="31"/>
  <c r="BC4" i="22"/>
  <c r="BC74" i="20"/>
  <c r="BC4" i="28"/>
  <c r="BC10" i="21"/>
  <c r="BC4" i="21"/>
  <c r="BC32" i="20"/>
  <c r="BC4" i="20"/>
  <c r="BC28" i="19"/>
  <c r="BC4" i="19"/>
  <c r="BC4" i="18"/>
  <c r="BC10" i="18"/>
  <c r="BC4" i="17"/>
  <c r="BC10" i="17"/>
  <c r="BC4" i="15"/>
  <c r="BC4" i="14"/>
  <c r="BC4" i="16"/>
  <c r="BC27" i="15"/>
  <c r="BC28" i="13"/>
  <c r="BC10" i="16"/>
  <c r="BC40" i="15"/>
  <c r="BC4" i="13"/>
  <c r="BC82" i="12"/>
  <c r="BC46" i="12"/>
  <c r="BC69" i="12"/>
  <c r="BC19" i="13"/>
  <c r="BC59" i="12"/>
  <c r="BC18" i="12"/>
  <c r="BC4" i="12"/>
  <c r="BC4" i="11"/>
  <c r="BC19" i="10"/>
  <c r="BC35" i="9"/>
  <c r="BC4" i="8"/>
  <c r="BC23" i="11"/>
  <c r="BC12" i="10"/>
  <c r="BC4" i="10"/>
  <c r="BC10" i="9"/>
  <c r="BC331" i="6"/>
  <c r="BC332" i="6" s="1"/>
  <c r="BC4" i="9"/>
  <c r="BC4" i="7"/>
  <c r="BC346" i="6"/>
  <c r="BC347" i="6" s="1"/>
  <c r="BC320" i="6"/>
  <c r="BC312" i="6"/>
  <c r="BC351" i="6"/>
  <c r="BC352" i="6" s="1"/>
  <c r="BC296" i="6"/>
  <c r="BC297" i="6" s="1"/>
  <c r="BC259" i="6"/>
  <c r="BC336" i="6"/>
  <c r="BC337" i="6" s="1"/>
  <c r="BC275" i="6"/>
  <c r="BC301" i="6"/>
  <c r="BC302" i="6" s="1"/>
  <c r="BC80" i="6"/>
  <c r="BC140" i="6"/>
  <c r="BC86" i="6"/>
  <c r="BC93" i="6"/>
  <c r="BC40" i="6"/>
  <c r="BD28" i="6"/>
  <c r="BC126" i="6"/>
  <c r="BC100" i="6"/>
  <c r="BC188" i="6"/>
  <c r="BC106" i="6"/>
  <c r="BC202" i="6"/>
  <c r="BC66" i="6"/>
  <c r="BC46" i="6"/>
  <c r="BC23" i="6"/>
  <c r="BC24" i="6" s="1"/>
  <c r="BC60" i="6"/>
  <c r="BC4" i="6"/>
  <c r="BC33" i="6"/>
  <c r="BC11" i="6"/>
  <c r="BC12" i="6" s="1"/>
  <c r="BC73" i="6"/>
  <c r="BC53" i="6"/>
  <c r="BC35" i="10"/>
  <c r="BB59" i="20"/>
  <c r="BB53" i="20"/>
  <c r="BB54" i="20" s="1"/>
  <c r="BB58" i="20" s="1"/>
  <c r="BB242" i="6"/>
  <c r="BB290" i="6"/>
  <c r="BB291" i="6" s="1"/>
  <c r="BB283" i="6"/>
  <c r="BB250" i="6"/>
  <c r="BB234" i="6"/>
  <c r="BB121" i="6"/>
  <c r="BB18" i="6"/>
  <c r="BB19" i="6" s="1"/>
  <c r="BB183" i="6"/>
  <c r="AZ141" i="6"/>
  <c r="AZ162" i="6"/>
  <c r="BB9" i="37"/>
  <c r="BB17" i="12"/>
  <c r="BB42" i="10"/>
  <c r="BB22" i="10"/>
  <c r="U28" i="16"/>
  <c r="U20" i="34" s="1"/>
  <c r="O59" i="51" s="1"/>
  <c r="U14" i="16"/>
  <c r="T16" i="19"/>
  <c r="T17" i="19" s="1"/>
  <c r="T42" i="15"/>
  <c r="T20" i="15"/>
  <c r="T25" i="11"/>
  <c r="AZ8" i="37"/>
  <c r="AZ16" i="12"/>
  <c r="AZ41" i="10"/>
  <c r="AZ43" i="10" s="1"/>
  <c r="AZ25" i="14" s="1"/>
  <c r="AZ26" i="14" s="1"/>
  <c r="AZ34" i="10"/>
  <c r="AZ21" i="10"/>
  <c r="M12" i="51" l="1"/>
  <c r="N21" i="49"/>
  <c r="M14" i="51"/>
  <c r="N23" i="49"/>
  <c r="BB40" i="12"/>
  <c r="BB32" i="12"/>
  <c r="BB13" i="10"/>
  <c r="BB14" i="10" s="1"/>
  <c r="BC59" i="20"/>
  <c r="BC53" i="20"/>
  <c r="BC54" i="20" s="1"/>
  <c r="BC58" i="20" s="1"/>
  <c r="BC242" i="6"/>
  <c r="BC290" i="6"/>
  <c r="BC291" i="6" s="1"/>
  <c r="BC283" i="6"/>
  <c r="BC250" i="6"/>
  <c r="BC234" i="6"/>
  <c r="BC121" i="6"/>
  <c r="BC183" i="6"/>
  <c r="BC18" i="6"/>
  <c r="BC19" i="6" s="1"/>
  <c r="BA141" i="6"/>
  <c r="BA162" i="6"/>
  <c r="S32" i="16"/>
  <c r="S45" i="16"/>
  <c r="S46" i="16" s="1"/>
  <c r="S41" i="16"/>
  <c r="S17" i="28" s="1"/>
  <c r="BA8" i="37"/>
  <c r="BA16" i="12"/>
  <c r="BA41" i="10"/>
  <c r="BA43" i="10" s="1"/>
  <c r="BA25" i="14" s="1"/>
  <c r="BA26" i="14" s="1"/>
  <c r="BA34" i="10"/>
  <c r="BA21" i="10"/>
  <c r="BC47" i="6"/>
  <c r="BC41" i="6"/>
  <c r="BC34" i="6"/>
  <c r="BB2" i="4"/>
  <c r="BB2" i="40"/>
  <c r="BB2" i="37"/>
  <c r="BB2" i="34"/>
  <c r="BB2" i="31"/>
  <c r="BB60" i="20"/>
  <c r="BB61" i="20" s="1"/>
  <c r="BB67" i="20" s="1"/>
  <c r="BB2" i="28"/>
  <c r="BB2" i="21"/>
  <c r="BB2" i="22"/>
  <c r="BB2" i="19"/>
  <c r="BB2" i="20"/>
  <c r="BB2" i="18"/>
  <c r="BB2" i="16"/>
  <c r="BB2" i="17"/>
  <c r="BB2" i="15"/>
  <c r="BB2" i="13"/>
  <c r="BB2" i="14"/>
  <c r="BB2" i="12"/>
  <c r="BB2" i="11"/>
  <c r="BB2" i="10"/>
  <c r="BB2" i="9"/>
  <c r="BB2" i="7"/>
  <c r="BB2" i="8"/>
  <c r="BB233" i="6"/>
  <c r="BB235" i="6" s="1"/>
  <c r="BB21" i="17" s="1"/>
  <c r="BB313" i="6"/>
  <c r="BC314" i="6" s="1"/>
  <c r="BB241" i="6"/>
  <c r="BB243" i="6" s="1"/>
  <c r="BB20" i="16" s="1"/>
  <c r="BB319" i="6"/>
  <c r="BB321" i="6" s="1"/>
  <c r="BB176" i="6"/>
  <c r="BB177" i="6" s="1"/>
  <c r="BB282" i="6"/>
  <c r="BB284" i="6" s="1"/>
  <c r="BB276" i="6" s="1"/>
  <c r="BB277" i="6" s="1"/>
  <c r="BB270" i="6" s="1"/>
  <c r="BB249" i="6"/>
  <c r="BB251" i="6" s="1"/>
  <c r="BB21" i="18" s="1"/>
  <c r="BB147" i="6"/>
  <c r="BB209" i="6"/>
  <c r="BB120" i="6"/>
  <c r="BB122" i="6" s="1"/>
  <c r="BB127" i="6" s="1"/>
  <c r="BB128" i="6" s="1"/>
  <c r="BB132" i="6" s="1"/>
  <c r="BB114" i="6"/>
  <c r="BB115" i="6" s="1"/>
  <c r="BB92" i="6"/>
  <c r="BB182" i="6"/>
  <c r="BB184" i="6" s="1"/>
  <c r="BB189" i="6" s="1"/>
  <c r="BB190" i="6" s="1"/>
  <c r="BB194" i="6" s="1"/>
  <c r="BB52" i="6"/>
  <c r="BB2" i="6"/>
  <c r="BB72" i="6"/>
  <c r="BB32" i="6"/>
  <c r="S48" i="18"/>
  <c r="S25" i="34" s="1"/>
  <c r="M64" i="51" s="1"/>
  <c r="S34" i="18"/>
  <c r="S35" i="18" s="1"/>
  <c r="S13" i="18" s="1"/>
  <c r="S15" i="18" s="1"/>
  <c r="S34" i="17"/>
  <c r="S48" i="17"/>
  <c r="S23" i="34" s="1"/>
  <c r="M62" i="51" s="1"/>
  <c r="BC9" i="37"/>
  <c r="BC17" i="12"/>
  <c r="BC22" i="10"/>
  <c r="BC42" i="10"/>
  <c r="BC3" i="4"/>
  <c r="BC3" i="40"/>
  <c r="BC3" i="37"/>
  <c r="BC3" i="34"/>
  <c r="BC3" i="28"/>
  <c r="BC3" i="31"/>
  <c r="BC3" i="22"/>
  <c r="BC3" i="21"/>
  <c r="BC3" i="20"/>
  <c r="BC3" i="18"/>
  <c r="BC3" i="19"/>
  <c r="BC3" i="17"/>
  <c r="BC3" i="15"/>
  <c r="BC3" i="14"/>
  <c r="BC3" i="16"/>
  <c r="BC3" i="13"/>
  <c r="BC3" i="12"/>
  <c r="BC3" i="8"/>
  <c r="BC3" i="11"/>
  <c r="BC3" i="10"/>
  <c r="BC3" i="9"/>
  <c r="BC3" i="7"/>
  <c r="BC79" i="6"/>
  <c r="BC99" i="6"/>
  <c r="BC59" i="6"/>
  <c r="BC3" i="6"/>
  <c r="BC39" i="6"/>
  <c r="BD4" i="40"/>
  <c r="BD4" i="4"/>
  <c r="BD4" i="37"/>
  <c r="BD4" i="34"/>
  <c r="BD4" i="31"/>
  <c r="BD4" i="28"/>
  <c r="BD4" i="22"/>
  <c r="BD10" i="21"/>
  <c r="BD74" i="20"/>
  <c r="BD32" i="20"/>
  <c r="BD4" i="21"/>
  <c r="BD10" i="18"/>
  <c r="BD4" i="20"/>
  <c r="BD28" i="19"/>
  <c r="BD4" i="19"/>
  <c r="BD4" i="18"/>
  <c r="BD4" i="17"/>
  <c r="BD40" i="15"/>
  <c r="BD10" i="17"/>
  <c r="BD27" i="15"/>
  <c r="BD4" i="16"/>
  <c r="BD10" i="16"/>
  <c r="BD4" i="15"/>
  <c r="BD4" i="14"/>
  <c r="BD4" i="13"/>
  <c r="BD82" i="12"/>
  <c r="BD28" i="13"/>
  <c r="BD46" i="12"/>
  <c r="BD69" i="12"/>
  <c r="BD19" i="13"/>
  <c r="BD59" i="12"/>
  <c r="BD4" i="12"/>
  <c r="BD23" i="11"/>
  <c r="BD18" i="12"/>
  <c r="BD12" i="10"/>
  <c r="BD4" i="10"/>
  <c r="BD19" i="10"/>
  <c r="BD4" i="11"/>
  <c r="BD346" i="6"/>
  <c r="BD347" i="6" s="1"/>
  <c r="BD10" i="9"/>
  <c r="BD4" i="7"/>
  <c r="BD320" i="6"/>
  <c r="BD312" i="6"/>
  <c r="BD351" i="6"/>
  <c r="BD352" i="6" s="1"/>
  <c r="BD296" i="6"/>
  <c r="BD297" i="6" s="1"/>
  <c r="BD35" i="9"/>
  <c r="BD331" i="6"/>
  <c r="BD332" i="6" s="1"/>
  <c r="BD259" i="6"/>
  <c r="BD336" i="6"/>
  <c r="BD337" i="6" s="1"/>
  <c r="BD275" i="6"/>
  <c r="BD4" i="8"/>
  <c r="BD301" i="6"/>
  <c r="BD302" i="6" s="1"/>
  <c r="BD4" i="9"/>
  <c r="BD80" i="6"/>
  <c r="BD140" i="6"/>
  <c r="BD86" i="6"/>
  <c r="BD93" i="6"/>
  <c r="BD126" i="6"/>
  <c r="BD100" i="6"/>
  <c r="BD46" i="6"/>
  <c r="BD188" i="6"/>
  <c r="BD106" i="6"/>
  <c r="BD202" i="6"/>
  <c r="BD73" i="6"/>
  <c r="BD66" i="6"/>
  <c r="BD40" i="6"/>
  <c r="BD23" i="6"/>
  <c r="BD24" i="6" s="1"/>
  <c r="BD60" i="6"/>
  <c r="BD4" i="6"/>
  <c r="BD33" i="6"/>
  <c r="BD11" i="6"/>
  <c r="BD12" i="6" s="1"/>
  <c r="BD53" i="6"/>
  <c r="BE28" i="6"/>
  <c r="BD35" i="10"/>
  <c r="BC81" i="6"/>
  <c r="BC87" i="6"/>
  <c r="BC74" i="6"/>
  <c r="AZ19" i="37"/>
  <c r="BA83" i="12"/>
  <c r="BA85" i="12" s="1"/>
  <c r="T17" i="37"/>
  <c r="O29" i="49" s="1"/>
  <c r="U70" i="12"/>
  <c r="T17" i="11"/>
  <c r="T18" i="11" s="1"/>
  <c r="BB18" i="37"/>
  <c r="BB84" i="12"/>
  <c r="BB31" i="13"/>
  <c r="BB23" i="13"/>
  <c r="BB62" i="12"/>
  <c r="BA224" i="6"/>
  <c r="BA203" i="6"/>
  <c r="T15" i="37"/>
  <c r="O28" i="49" s="1"/>
  <c r="U60" i="12"/>
  <c r="T21" i="19"/>
  <c r="T43" i="15"/>
  <c r="T45" i="15" s="1"/>
  <c r="T21" i="15"/>
  <c r="V22" i="15" s="1"/>
  <c r="AZ12" i="14"/>
  <c r="AZ49" i="15"/>
  <c r="AZ34" i="15"/>
  <c r="AZ27" i="14"/>
  <c r="AZ9" i="28" s="1"/>
  <c r="AT5" i="51" s="1"/>
  <c r="BC94" i="6"/>
  <c r="BC101" i="6"/>
  <c r="BC107" i="6"/>
  <c r="BC14" i="37"/>
  <c r="BC72" i="12"/>
  <c r="BC76" i="12"/>
  <c r="BC77" i="12" s="1"/>
  <c r="BC64" i="12"/>
  <c r="S35" i="17"/>
  <c r="S13" i="17" s="1"/>
  <c r="S15" i="17" s="1"/>
  <c r="BA61" i="6"/>
  <c r="BA67" i="6"/>
  <c r="BA54" i="6"/>
  <c r="BA26" i="31"/>
  <c r="AU41" i="51" s="1"/>
  <c r="BB11" i="21"/>
  <c r="BB13" i="21" s="1"/>
  <c r="BA29" i="9"/>
  <c r="U28" i="10"/>
  <c r="M13" i="51" l="1"/>
  <c r="N22" i="49"/>
  <c r="S18" i="31"/>
  <c r="T11" i="18"/>
  <c r="V8" i="34"/>
  <c r="P47" i="51" s="1"/>
  <c r="V44" i="15"/>
  <c r="T10" i="31"/>
  <c r="N25" i="51" s="1"/>
  <c r="U41" i="15"/>
  <c r="U27" i="10"/>
  <c r="U29" i="10" s="1"/>
  <c r="BD9" i="37"/>
  <c r="BD17" i="12"/>
  <c r="BD22" i="10"/>
  <c r="BD42" i="10"/>
  <c r="BD3" i="4"/>
  <c r="BD3" i="40"/>
  <c r="BD3" i="37"/>
  <c r="BD3" i="34"/>
  <c r="BD3" i="31"/>
  <c r="BD3" i="28"/>
  <c r="BD3" i="22"/>
  <c r="BD3" i="21"/>
  <c r="BD3" i="18"/>
  <c r="BD3" i="19"/>
  <c r="BD3" i="20"/>
  <c r="BD3" i="17"/>
  <c r="BD3" i="14"/>
  <c r="BD3" i="16"/>
  <c r="BD3" i="15"/>
  <c r="BD3" i="13"/>
  <c r="BD3" i="12"/>
  <c r="BD3" i="11"/>
  <c r="BD3" i="10"/>
  <c r="BD3" i="8"/>
  <c r="BD3" i="9"/>
  <c r="BD3" i="7"/>
  <c r="BD79" i="6"/>
  <c r="BD39" i="6"/>
  <c r="BD99" i="6"/>
  <c r="BD3" i="6"/>
  <c r="BD59" i="6"/>
  <c r="BC2" i="40"/>
  <c r="BC2" i="4"/>
  <c r="BC2" i="37"/>
  <c r="BC2" i="34"/>
  <c r="BC2" i="31"/>
  <c r="BC2" i="28"/>
  <c r="BC2" i="21"/>
  <c r="BC2" i="22"/>
  <c r="BC60" i="20"/>
  <c r="BC2" i="20"/>
  <c r="BC2" i="19"/>
  <c r="BC2" i="17"/>
  <c r="BC2" i="18"/>
  <c r="BC2" i="14"/>
  <c r="BC2" i="16"/>
  <c r="BC2" i="15"/>
  <c r="BC2" i="13"/>
  <c r="BC2" i="12"/>
  <c r="BC2" i="11"/>
  <c r="BC2" i="10"/>
  <c r="BC2" i="8"/>
  <c r="BC313" i="6"/>
  <c r="BD314" i="6" s="1"/>
  <c r="BC241" i="6"/>
  <c r="BC243" i="6" s="1"/>
  <c r="BC20" i="16" s="1"/>
  <c r="BC2" i="7"/>
  <c r="BC319" i="6"/>
  <c r="BC321" i="6" s="1"/>
  <c r="BC2" i="9"/>
  <c r="BC282" i="6"/>
  <c r="BC284" i="6" s="1"/>
  <c r="BC276" i="6" s="1"/>
  <c r="BC277" i="6" s="1"/>
  <c r="BC270" i="6" s="1"/>
  <c r="BC249" i="6"/>
  <c r="BC251" i="6" s="1"/>
  <c r="BC21" i="18" s="1"/>
  <c r="BC233" i="6"/>
  <c r="BC235" i="6" s="1"/>
  <c r="BC21" i="17" s="1"/>
  <c r="BC209" i="6"/>
  <c r="BC147" i="6"/>
  <c r="BC176" i="6"/>
  <c r="BC177" i="6" s="1"/>
  <c r="BC120" i="6"/>
  <c r="BC122" i="6" s="1"/>
  <c r="BC127" i="6" s="1"/>
  <c r="BC128" i="6" s="1"/>
  <c r="BC132" i="6" s="1"/>
  <c r="BC32" i="6"/>
  <c r="BC114" i="6"/>
  <c r="BC115" i="6" s="1"/>
  <c r="BC92" i="6"/>
  <c r="BC182" i="6"/>
  <c r="BC184" i="6" s="1"/>
  <c r="BC189" i="6" s="1"/>
  <c r="BC190" i="6" s="1"/>
  <c r="BC194" i="6" s="1"/>
  <c r="BC2" i="6"/>
  <c r="BC72" i="6"/>
  <c r="BC52" i="6"/>
  <c r="BC61" i="20"/>
  <c r="BC67" i="20" s="1"/>
  <c r="BC18" i="37"/>
  <c r="BC84" i="12"/>
  <c r="BC31" i="13"/>
  <c r="BC23" i="13"/>
  <c r="BC62" i="12"/>
  <c r="BB26" i="31"/>
  <c r="AV41" i="51" s="1"/>
  <c r="BC11" i="21"/>
  <c r="BC13" i="21" s="1"/>
  <c r="BB29" i="9"/>
  <c r="BD14" i="37"/>
  <c r="BD64" i="12"/>
  <c r="BD72" i="12"/>
  <c r="BD76" i="12"/>
  <c r="BD77" i="12" s="1"/>
  <c r="BA19" i="37"/>
  <c r="BB83" i="12"/>
  <c r="BB85" i="12" s="1"/>
  <c r="BE4" i="4"/>
  <c r="BE4" i="40"/>
  <c r="BE4" i="37"/>
  <c r="BE4" i="34"/>
  <c r="BE4" i="31"/>
  <c r="BE4" i="22"/>
  <c r="BE4" i="28"/>
  <c r="BE74" i="20"/>
  <c r="BE4" i="21"/>
  <c r="BE10" i="21"/>
  <c r="BE4" i="20"/>
  <c r="BE32" i="20"/>
  <c r="BE4" i="19"/>
  <c r="BE28" i="19"/>
  <c r="BE4" i="17"/>
  <c r="BE4" i="18"/>
  <c r="BE10" i="17"/>
  <c r="BE10" i="18"/>
  <c r="BE10" i="16"/>
  <c r="BE27" i="15"/>
  <c r="BE19" i="13"/>
  <c r="BE4" i="13"/>
  <c r="BE40" i="15"/>
  <c r="BE4" i="15"/>
  <c r="BE4" i="14"/>
  <c r="BE4" i="16"/>
  <c r="BE82" i="12"/>
  <c r="BE28" i="13"/>
  <c r="BE69" i="12"/>
  <c r="BE59" i="12"/>
  <c r="BE4" i="12"/>
  <c r="BE46" i="12"/>
  <c r="BE4" i="11"/>
  <c r="BE18" i="12"/>
  <c r="BE19" i="10"/>
  <c r="BE35" i="9"/>
  <c r="BE23" i="11"/>
  <c r="BE12" i="10"/>
  <c r="BE10" i="9"/>
  <c r="BE4" i="10"/>
  <c r="BE4" i="7"/>
  <c r="BE320" i="6"/>
  <c r="BE312" i="6"/>
  <c r="BE346" i="6"/>
  <c r="BE347" i="6" s="1"/>
  <c r="BE351" i="6"/>
  <c r="BE352" i="6" s="1"/>
  <c r="BE296" i="6"/>
  <c r="BE297" i="6" s="1"/>
  <c r="BE331" i="6"/>
  <c r="BE332" i="6" s="1"/>
  <c r="BE259" i="6"/>
  <c r="BE336" i="6"/>
  <c r="BE337" i="6" s="1"/>
  <c r="BE275" i="6"/>
  <c r="BE4" i="8"/>
  <c r="BE301" i="6"/>
  <c r="BE302" i="6" s="1"/>
  <c r="BE4" i="9"/>
  <c r="BE202" i="6"/>
  <c r="BE140" i="6"/>
  <c r="BE86" i="6"/>
  <c r="BE93" i="6"/>
  <c r="BE126" i="6"/>
  <c r="BE100" i="6"/>
  <c r="BE188" i="6"/>
  <c r="BE106" i="6"/>
  <c r="BE53" i="6"/>
  <c r="BE23" i="6"/>
  <c r="BE24" i="6" s="1"/>
  <c r="BE80" i="6"/>
  <c r="BE4" i="6"/>
  <c r="BE66" i="6"/>
  <c r="BE46" i="6"/>
  <c r="BE40" i="6"/>
  <c r="BE60" i="6"/>
  <c r="BE11" i="6"/>
  <c r="BE12" i="6" s="1"/>
  <c r="BE33" i="6"/>
  <c r="BE73" i="6"/>
  <c r="BF28" i="6"/>
  <c r="BE35" i="10"/>
  <c r="BD87" i="6"/>
  <c r="BD74" i="6"/>
  <c r="BD81" i="6"/>
  <c r="BB224" i="6"/>
  <c r="BB203" i="6"/>
  <c r="BB8" i="37"/>
  <c r="BB16" i="12"/>
  <c r="BB41" i="10"/>
  <c r="BB43" i="10" s="1"/>
  <c r="BB25" i="14" s="1"/>
  <c r="BB26" i="14" s="1"/>
  <c r="BB34" i="10"/>
  <c r="BB21" i="10"/>
  <c r="BB67" i="6"/>
  <c r="BB61" i="6"/>
  <c r="BB54" i="6"/>
  <c r="S47" i="16"/>
  <c r="S24" i="34" s="1"/>
  <c r="M63" i="51" s="1"/>
  <c r="S33" i="16"/>
  <c r="S34" i="16" s="1"/>
  <c r="S13" i="16" s="1"/>
  <c r="S15" i="16" s="1"/>
  <c r="BB141" i="6"/>
  <c r="BB162" i="6"/>
  <c r="BA12" i="14"/>
  <c r="BA49" i="15"/>
  <c r="BA34" i="15"/>
  <c r="BA27" i="14"/>
  <c r="BA9" i="28" s="1"/>
  <c r="AU5" i="51" s="1"/>
  <c r="S16" i="31"/>
  <c r="T11" i="17"/>
  <c r="T8" i="28"/>
  <c r="T19" i="16"/>
  <c r="T21" i="16" s="1"/>
  <c r="T26" i="11"/>
  <c r="T27" i="11" s="1"/>
  <c r="BC40" i="12"/>
  <c r="BC32" i="12"/>
  <c r="BC13" i="10"/>
  <c r="BC14" i="10" s="1"/>
  <c r="BD59" i="20"/>
  <c r="BD53" i="20"/>
  <c r="BD54" i="20" s="1"/>
  <c r="BD58" i="20" s="1"/>
  <c r="BD242" i="6"/>
  <c r="BD290" i="6"/>
  <c r="BD291" i="6" s="1"/>
  <c r="BD283" i="6"/>
  <c r="BD250" i="6"/>
  <c r="BD234" i="6"/>
  <c r="BD121" i="6"/>
  <c r="BD183" i="6"/>
  <c r="BD18" i="6"/>
  <c r="BD19" i="6" s="1"/>
  <c r="BD47" i="6"/>
  <c r="BD41" i="6"/>
  <c r="BD34" i="6"/>
  <c r="BD94" i="6"/>
  <c r="BD101" i="6"/>
  <c r="BD107" i="6"/>
  <c r="M31" i="51" l="1"/>
  <c r="N9" i="49"/>
  <c r="M33" i="51"/>
  <c r="N10" i="49"/>
  <c r="N4" i="51"/>
  <c r="O12" i="49"/>
  <c r="S17" i="31"/>
  <c r="T11" i="16"/>
  <c r="BD2" i="40"/>
  <c r="BD2" i="4"/>
  <c r="BD2" i="37"/>
  <c r="BD2" i="34"/>
  <c r="BD2" i="28"/>
  <c r="BD2" i="31"/>
  <c r="BD2" i="22"/>
  <c r="BD60" i="20"/>
  <c r="BD2" i="21"/>
  <c r="BD2" i="20"/>
  <c r="BD2" i="19"/>
  <c r="BD2" i="18"/>
  <c r="BD2" i="17"/>
  <c r="BD2" i="16"/>
  <c r="BD2" i="15"/>
  <c r="BD2" i="14"/>
  <c r="BD2" i="13"/>
  <c r="BD2" i="11"/>
  <c r="BD2" i="10"/>
  <c r="BD2" i="12"/>
  <c r="BD313" i="6"/>
  <c r="BD241" i="6"/>
  <c r="BD243" i="6" s="1"/>
  <c r="BD20" i="16" s="1"/>
  <c r="BD2" i="8"/>
  <c r="BD2" i="7"/>
  <c r="BD319" i="6"/>
  <c r="BD321" i="6" s="1"/>
  <c r="BD2" i="9"/>
  <c r="BD282" i="6"/>
  <c r="BD284" i="6" s="1"/>
  <c r="BD276" i="6" s="1"/>
  <c r="BD277" i="6" s="1"/>
  <c r="BD270" i="6" s="1"/>
  <c r="BD249" i="6"/>
  <c r="BD251" i="6" s="1"/>
  <c r="BD21" i="18" s="1"/>
  <c r="BD233" i="6"/>
  <c r="BD235" i="6" s="1"/>
  <c r="BD21" i="17" s="1"/>
  <c r="BD176" i="6"/>
  <c r="BD177" i="6" s="1"/>
  <c r="BD120" i="6"/>
  <c r="BD122" i="6" s="1"/>
  <c r="BD127" i="6" s="1"/>
  <c r="BD128" i="6" s="1"/>
  <c r="BD132" i="6" s="1"/>
  <c r="BD209" i="6"/>
  <c r="BD114" i="6"/>
  <c r="BD115" i="6" s="1"/>
  <c r="BD92" i="6"/>
  <c r="BD182" i="6"/>
  <c r="BD184" i="6" s="1"/>
  <c r="BD189" i="6" s="1"/>
  <c r="BD190" i="6" s="1"/>
  <c r="BD194" i="6" s="1"/>
  <c r="BD147" i="6"/>
  <c r="BD72" i="6"/>
  <c r="BD52" i="6"/>
  <c r="BD32" i="6"/>
  <c r="BD2" i="6"/>
  <c r="BE9" i="37"/>
  <c r="BE17" i="12"/>
  <c r="BE22" i="10"/>
  <c r="BE42" i="10"/>
  <c r="BE14" i="37"/>
  <c r="BE76" i="12"/>
  <c r="BE77" i="12" s="1"/>
  <c r="BE64" i="12"/>
  <c r="BE72" i="12"/>
  <c r="BC141" i="6"/>
  <c r="BC162" i="6"/>
  <c r="BF4" i="4"/>
  <c r="BF4" i="40"/>
  <c r="BF4" i="37"/>
  <c r="BF4" i="34"/>
  <c r="BF4" i="31"/>
  <c r="BF4" i="28"/>
  <c r="BF4" i="21"/>
  <c r="BF4" i="22"/>
  <c r="BF10" i="21"/>
  <c r="BF74" i="20"/>
  <c r="BF32" i="20"/>
  <c r="BF28" i="19"/>
  <c r="BF4" i="20"/>
  <c r="BF4" i="19"/>
  <c r="BF4" i="17"/>
  <c r="BF4" i="18"/>
  <c r="BF10" i="16"/>
  <c r="BF10" i="17"/>
  <c r="BF10" i="18"/>
  <c r="BF4" i="16"/>
  <c r="BF27" i="15"/>
  <c r="BF40" i="15"/>
  <c r="BF4" i="15"/>
  <c r="BF4" i="13"/>
  <c r="BF28" i="13"/>
  <c r="BF4" i="14"/>
  <c r="BF69" i="12"/>
  <c r="BF59" i="12"/>
  <c r="BF19" i="13"/>
  <c r="BF82" i="12"/>
  <c r="BF4" i="12"/>
  <c r="BF46" i="12"/>
  <c r="BF18" i="12"/>
  <c r="BF19" i="10"/>
  <c r="BF4" i="9"/>
  <c r="BF35" i="9"/>
  <c r="BF23" i="11"/>
  <c r="BF4" i="11"/>
  <c r="BF12" i="10"/>
  <c r="BF10" i="9"/>
  <c r="BF331" i="6"/>
  <c r="BF332" i="6" s="1"/>
  <c r="BF4" i="10"/>
  <c r="BF336" i="6"/>
  <c r="BF337" i="6" s="1"/>
  <c r="BF346" i="6"/>
  <c r="BF347" i="6" s="1"/>
  <c r="BF351" i="6"/>
  <c r="BF352" i="6" s="1"/>
  <c r="BF296" i="6"/>
  <c r="BF297" i="6" s="1"/>
  <c r="BF259" i="6"/>
  <c r="BF275" i="6"/>
  <c r="BF4" i="8"/>
  <c r="BF301" i="6"/>
  <c r="BF302" i="6" s="1"/>
  <c r="BF4" i="7"/>
  <c r="BF320" i="6"/>
  <c r="BF312" i="6"/>
  <c r="BF93" i="6"/>
  <c r="BF126" i="6"/>
  <c r="BF100" i="6"/>
  <c r="BF188" i="6"/>
  <c r="BF106" i="6"/>
  <c r="BF60" i="6"/>
  <c r="BF202" i="6"/>
  <c r="BF80" i="6"/>
  <c r="BF140" i="6"/>
  <c r="BF86" i="6"/>
  <c r="BF33" i="6"/>
  <c r="BF11" i="6"/>
  <c r="BF12" i="6" s="1"/>
  <c r="BF66" i="6"/>
  <c r="BF46" i="6"/>
  <c r="BF40" i="6"/>
  <c r="BF23" i="6"/>
  <c r="BF24" i="6" s="1"/>
  <c r="BF4" i="6"/>
  <c r="BF73" i="6"/>
  <c r="BF53" i="6"/>
  <c r="BG28" i="6"/>
  <c r="BF35" i="10"/>
  <c r="BE74" i="6"/>
  <c r="BE81" i="6"/>
  <c r="BE87" i="6"/>
  <c r="T14" i="31"/>
  <c r="N29" i="51" s="1"/>
  <c r="U24" i="11"/>
  <c r="BC67" i="6"/>
  <c r="BC61" i="6"/>
  <c r="BC54" i="6"/>
  <c r="BD61" i="20"/>
  <c r="BD67" i="20" s="1"/>
  <c r="T19" i="34"/>
  <c r="N58" i="51" s="1"/>
  <c r="T26" i="16"/>
  <c r="V27" i="16" s="1"/>
  <c r="T12" i="16"/>
  <c r="BB49" i="15"/>
  <c r="BB34" i="15"/>
  <c r="BB12" i="14"/>
  <c r="BB27" i="14"/>
  <c r="BB9" i="28" s="1"/>
  <c r="AV5" i="51" s="1"/>
  <c r="BE3" i="4"/>
  <c r="BE3" i="40"/>
  <c r="BE3" i="37"/>
  <c r="BE3" i="34"/>
  <c r="BE3" i="31"/>
  <c r="BE3" i="22"/>
  <c r="BE3" i="28"/>
  <c r="BE3" i="21"/>
  <c r="BE3" i="20"/>
  <c r="BE3" i="19"/>
  <c r="BE3" i="18"/>
  <c r="BE3" i="17"/>
  <c r="BE3" i="14"/>
  <c r="BE3" i="16"/>
  <c r="BE3" i="15"/>
  <c r="BE3" i="13"/>
  <c r="BE3" i="11"/>
  <c r="BE3" i="12"/>
  <c r="BE3" i="10"/>
  <c r="BE3" i="9"/>
  <c r="BE3" i="8"/>
  <c r="BE3" i="7"/>
  <c r="BE79" i="6"/>
  <c r="BE99" i="6"/>
  <c r="BE3" i="6"/>
  <c r="BE39" i="6"/>
  <c r="BE59" i="6"/>
  <c r="BD18" i="37"/>
  <c r="BD23" i="13"/>
  <c r="BD84" i="12"/>
  <c r="BD31" i="13"/>
  <c r="BD62" i="12"/>
  <c r="BC26" i="31"/>
  <c r="AW41" i="51" s="1"/>
  <c r="BD11" i="21"/>
  <c r="BD13" i="21" s="1"/>
  <c r="BC29" i="9"/>
  <c r="BC203" i="6"/>
  <c r="BC224" i="6"/>
  <c r="U53" i="12"/>
  <c r="U54" i="12" s="1"/>
  <c r="U23" i="10"/>
  <c r="U24" i="10" s="1"/>
  <c r="U11" i="11"/>
  <c r="U12" i="11" s="1"/>
  <c r="T40" i="18"/>
  <c r="T41" i="18" s="1"/>
  <c r="T27" i="18"/>
  <c r="T28" i="18" s="1"/>
  <c r="BE53" i="20"/>
  <c r="BE54" i="20" s="1"/>
  <c r="BE58" i="20" s="1"/>
  <c r="BE59" i="20"/>
  <c r="BE290" i="6"/>
  <c r="BE291" i="6" s="1"/>
  <c r="BE283" i="6"/>
  <c r="BE250" i="6"/>
  <c r="BE234" i="6"/>
  <c r="BE242" i="6"/>
  <c r="BE183" i="6"/>
  <c r="BE121" i="6"/>
  <c r="BE18" i="6"/>
  <c r="BE19" i="6" s="1"/>
  <c r="BC8" i="37"/>
  <c r="BC16" i="12"/>
  <c r="BC34" i="10"/>
  <c r="BC41" i="10"/>
  <c r="BC43" i="10" s="1"/>
  <c r="BC25" i="14" s="1"/>
  <c r="BC26" i="14" s="1"/>
  <c r="BC21" i="10"/>
  <c r="BE314" i="6"/>
  <c r="BD40" i="12"/>
  <c r="BD32" i="12"/>
  <c r="BD13" i="10"/>
  <c r="BD14" i="10" s="1"/>
  <c r="T40" i="17"/>
  <c r="T41" i="17" s="1"/>
  <c r="BE94" i="6"/>
  <c r="BE101" i="6"/>
  <c r="BE107" i="6"/>
  <c r="BE34" i="6"/>
  <c r="BE41" i="6"/>
  <c r="BE47" i="6"/>
  <c r="BB19" i="37"/>
  <c r="BC83" i="12"/>
  <c r="BC85" i="12" s="1"/>
  <c r="M32" i="51" l="1"/>
  <c r="N8" i="49"/>
  <c r="BD8" i="37"/>
  <c r="BD16" i="12"/>
  <c r="BD34" i="10"/>
  <c r="BD21" i="10"/>
  <c r="BD41" i="10"/>
  <c r="BD43" i="10" s="1"/>
  <c r="BD25" i="14" s="1"/>
  <c r="BD26" i="14" s="1"/>
  <c r="BC12" i="14"/>
  <c r="BC49" i="15"/>
  <c r="BC27" i="14"/>
  <c r="BC9" i="28" s="1"/>
  <c r="AW5" i="51" s="1"/>
  <c r="BC34" i="15"/>
  <c r="BE40" i="12"/>
  <c r="BE32" i="12"/>
  <c r="BE13" i="10"/>
  <c r="BE14" i="10" s="1"/>
  <c r="BF3" i="40"/>
  <c r="BF3" i="4"/>
  <c r="BF3" i="37"/>
  <c r="BF3" i="31"/>
  <c r="BF3" i="34"/>
  <c r="BF3" i="22"/>
  <c r="BF3" i="28"/>
  <c r="BF3" i="21"/>
  <c r="BF3" i="19"/>
  <c r="BF3" i="20"/>
  <c r="BF3" i="18"/>
  <c r="BF3" i="16"/>
  <c r="BF3" i="17"/>
  <c r="BF3" i="15"/>
  <c r="BF3" i="14"/>
  <c r="BF3" i="13"/>
  <c r="BF3" i="12"/>
  <c r="BF3" i="11"/>
  <c r="BF3" i="10"/>
  <c r="BF3" i="9"/>
  <c r="BF3" i="7"/>
  <c r="BF3" i="8"/>
  <c r="BF99" i="6"/>
  <c r="BF79" i="6"/>
  <c r="BF39" i="6"/>
  <c r="BF59" i="6"/>
  <c r="BF3" i="6"/>
  <c r="BF101" i="6"/>
  <c r="BF107" i="6"/>
  <c r="BF94" i="6"/>
  <c r="BE18" i="37"/>
  <c r="BE31" i="13"/>
  <c r="BE84" i="12"/>
  <c r="BE23" i="13"/>
  <c r="BE62" i="12"/>
  <c r="BD203" i="6"/>
  <c r="BD224" i="6"/>
  <c r="T39" i="16"/>
  <c r="T40" i="16" s="1"/>
  <c r="U16" i="19"/>
  <c r="U17" i="19" s="1"/>
  <c r="U42" i="15"/>
  <c r="U20" i="15"/>
  <c r="U25" i="11"/>
  <c r="BE2" i="4"/>
  <c r="BE2" i="40"/>
  <c r="BE2" i="37"/>
  <c r="BE2" i="34"/>
  <c r="BE2" i="31"/>
  <c r="BE2" i="22"/>
  <c r="BE2" i="28"/>
  <c r="BE60" i="20"/>
  <c r="BE2" i="21"/>
  <c r="BE2" i="20"/>
  <c r="BE2" i="19"/>
  <c r="BE2" i="17"/>
  <c r="BE2" i="18"/>
  <c r="BE2" i="16"/>
  <c r="BE2" i="15"/>
  <c r="BE2" i="13"/>
  <c r="BE2" i="14"/>
  <c r="BE2" i="12"/>
  <c r="BE2" i="11"/>
  <c r="BE2" i="10"/>
  <c r="BE241" i="6"/>
  <c r="BE243" i="6" s="1"/>
  <c r="BE20" i="16" s="1"/>
  <c r="BE2" i="8"/>
  <c r="BE2" i="7"/>
  <c r="BE319" i="6"/>
  <c r="BE321" i="6" s="1"/>
  <c r="BE2" i="9"/>
  <c r="BE282" i="6"/>
  <c r="BE284" i="6" s="1"/>
  <c r="BE276" i="6" s="1"/>
  <c r="BE277" i="6" s="1"/>
  <c r="BE270" i="6" s="1"/>
  <c r="BE249" i="6"/>
  <c r="BE251" i="6" s="1"/>
  <c r="BE21" i="18" s="1"/>
  <c r="BE233" i="6"/>
  <c r="BE235" i="6" s="1"/>
  <c r="BE21" i="17" s="1"/>
  <c r="BE313" i="6"/>
  <c r="BF314" i="6" s="1"/>
  <c r="BE120" i="6"/>
  <c r="BE122" i="6" s="1"/>
  <c r="BE127" i="6" s="1"/>
  <c r="BE128" i="6" s="1"/>
  <c r="BE132" i="6" s="1"/>
  <c r="BE209" i="6"/>
  <c r="BE114" i="6"/>
  <c r="BE115" i="6" s="1"/>
  <c r="BE92" i="6"/>
  <c r="BE182" i="6"/>
  <c r="BE184" i="6" s="1"/>
  <c r="BE189" i="6" s="1"/>
  <c r="BE190" i="6" s="1"/>
  <c r="BE194" i="6" s="1"/>
  <c r="BE147" i="6"/>
  <c r="BE176" i="6"/>
  <c r="BE177" i="6" s="1"/>
  <c r="BE72" i="6"/>
  <c r="BE52" i="6"/>
  <c r="BE32" i="6"/>
  <c r="BE2" i="6"/>
  <c r="T14" i="18"/>
  <c r="T29" i="18"/>
  <c r="T22" i="34" s="1"/>
  <c r="N61" i="51" s="1"/>
  <c r="BD26" i="31"/>
  <c r="AX41" i="51" s="1"/>
  <c r="BE11" i="21"/>
  <c r="BE13" i="21" s="1"/>
  <c r="BD29" i="9"/>
  <c r="T33" i="17"/>
  <c r="T46" i="17"/>
  <c r="T47" i="17" s="1"/>
  <c r="T42" i="17"/>
  <c r="T16" i="28" s="1"/>
  <c r="BE61" i="20"/>
  <c r="BE67" i="20" s="1"/>
  <c r="T46" i="18"/>
  <c r="T47" i="18" s="1"/>
  <c r="T42" i="18"/>
  <c r="T18" i="28" s="1"/>
  <c r="T33" i="18"/>
  <c r="BF9" i="37"/>
  <c r="BF17" i="12"/>
  <c r="BF42" i="10"/>
  <c r="BF22" i="10"/>
  <c r="BF74" i="6"/>
  <c r="BF81" i="6"/>
  <c r="BF87" i="6"/>
  <c r="BF41" i="6"/>
  <c r="BF34" i="6"/>
  <c r="BF47" i="6"/>
  <c r="U10" i="37"/>
  <c r="P26" i="49" s="1"/>
  <c r="U24" i="12"/>
  <c r="U26" i="12" s="1"/>
  <c r="U31" i="12" s="1"/>
  <c r="V20" i="10"/>
  <c r="BG4" i="4"/>
  <c r="BG4" i="40"/>
  <c r="BG4" i="37"/>
  <c r="BG4" i="34"/>
  <c r="BG4" i="31"/>
  <c r="BG4" i="28"/>
  <c r="BG74" i="20"/>
  <c r="BG4" i="22"/>
  <c r="BG4" i="21"/>
  <c r="BG10" i="21"/>
  <c r="BG4" i="20"/>
  <c r="BG32" i="20"/>
  <c r="BG10" i="18"/>
  <c r="BG4" i="18"/>
  <c r="BG28" i="19"/>
  <c r="BG4" i="19"/>
  <c r="BG10" i="17"/>
  <c r="BG4" i="15"/>
  <c r="BG4" i="17"/>
  <c r="BG27" i="15"/>
  <c r="BG10" i="16"/>
  <c r="BG40" i="15"/>
  <c r="BG4" i="14"/>
  <c r="BG4" i="16"/>
  <c r="BG28" i="13"/>
  <c r="BG59" i="12"/>
  <c r="BG19" i="13"/>
  <c r="BG82" i="12"/>
  <c r="BG4" i="13"/>
  <c r="BG46" i="12"/>
  <c r="BG69" i="12"/>
  <c r="BG18" i="12"/>
  <c r="BG4" i="12"/>
  <c r="BG35" i="9"/>
  <c r="BG4" i="8"/>
  <c r="BG23" i="11"/>
  <c r="BG4" i="11"/>
  <c r="BG12" i="10"/>
  <c r="BG4" i="10"/>
  <c r="BG346" i="6"/>
  <c r="BG347" i="6" s="1"/>
  <c r="BG19" i="10"/>
  <c r="BG4" i="9"/>
  <c r="BG4" i="7"/>
  <c r="BG351" i="6"/>
  <c r="BG352" i="6" s="1"/>
  <c r="BG10" i="9"/>
  <c r="BG296" i="6"/>
  <c r="BG297" i="6" s="1"/>
  <c r="BG259" i="6"/>
  <c r="BG331" i="6"/>
  <c r="BG332" i="6" s="1"/>
  <c r="BG275" i="6"/>
  <c r="BG336" i="6"/>
  <c r="BG337" i="6" s="1"/>
  <c r="BG301" i="6"/>
  <c r="BG302" i="6" s="1"/>
  <c r="BG320" i="6"/>
  <c r="BG312" i="6"/>
  <c r="BG188" i="6"/>
  <c r="BG126" i="6"/>
  <c r="BG100" i="6"/>
  <c r="BG106" i="6"/>
  <c r="BG66" i="6"/>
  <c r="BG202" i="6"/>
  <c r="BG80" i="6"/>
  <c r="BG140" i="6"/>
  <c r="BG86" i="6"/>
  <c r="BG93" i="6"/>
  <c r="BG40" i="6"/>
  <c r="BH28" i="6"/>
  <c r="BG23" i="6"/>
  <c r="BG24" i="6" s="1"/>
  <c r="BG60" i="6"/>
  <c r="BG4" i="6"/>
  <c r="BG33" i="6"/>
  <c r="BG11" i="6"/>
  <c r="BG12" i="6" s="1"/>
  <c r="BG73" i="6"/>
  <c r="BG53" i="6"/>
  <c r="BG46" i="6"/>
  <c r="BG35" i="10"/>
  <c r="BF59" i="20"/>
  <c r="BF53" i="20"/>
  <c r="BF54" i="20" s="1"/>
  <c r="BF58" i="20" s="1"/>
  <c r="BF283" i="6"/>
  <c r="BF250" i="6"/>
  <c r="BF242" i="6"/>
  <c r="BF290" i="6"/>
  <c r="BF291" i="6" s="1"/>
  <c r="BF234" i="6"/>
  <c r="BF183" i="6"/>
  <c r="BF121" i="6"/>
  <c r="BF18" i="6"/>
  <c r="BF19" i="6" s="1"/>
  <c r="BF14" i="37"/>
  <c r="BF64" i="12"/>
  <c r="BF72" i="12"/>
  <c r="BF76" i="12"/>
  <c r="BF77" i="12" s="1"/>
  <c r="U16" i="37"/>
  <c r="U71" i="12"/>
  <c r="U73" i="12" s="1"/>
  <c r="U63" i="12"/>
  <c r="U65" i="12" s="1"/>
  <c r="BD141" i="6"/>
  <c r="BD162" i="6"/>
  <c r="BD54" i="6"/>
  <c r="BD67" i="6"/>
  <c r="BD61" i="6"/>
  <c r="BC19" i="37"/>
  <c r="BD83" i="12"/>
  <c r="BD85" i="12" s="1"/>
  <c r="V14" i="16"/>
  <c r="V28" i="16"/>
  <c r="V20" i="34" s="1"/>
  <c r="P59" i="51" s="1"/>
  <c r="N12" i="51" l="1"/>
  <c r="O21" i="49"/>
  <c r="N14" i="51"/>
  <c r="O23" i="49"/>
  <c r="BD19" i="37"/>
  <c r="BE83" i="12"/>
  <c r="BE85" i="12" s="1"/>
  <c r="BG47" i="6"/>
  <c r="BG34" i="6"/>
  <c r="BG41" i="6"/>
  <c r="BF40" i="12"/>
  <c r="BF32" i="12"/>
  <c r="BF13" i="10"/>
  <c r="BF14" i="10" s="1"/>
  <c r="BH4" i="4"/>
  <c r="BH4" i="40"/>
  <c r="BH4" i="37"/>
  <c r="BH4" i="34"/>
  <c r="BH4" i="31"/>
  <c r="BH4" i="28"/>
  <c r="BH4" i="22"/>
  <c r="BH4" i="21"/>
  <c r="BH10" i="21"/>
  <c r="BH74" i="20"/>
  <c r="BH32" i="20"/>
  <c r="BH4" i="20"/>
  <c r="BH4" i="18"/>
  <c r="BH28" i="19"/>
  <c r="BH4" i="19"/>
  <c r="BH10" i="18"/>
  <c r="BH10" i="17"/>
  <c r="BH27" i="15"/>
  <c r="BH4" i="17"/>
  <c r="BH40" i="15"/>
  <c r="BH10" i="16"/>
  <c r="BH4" i="14"/>
  <c r="BH4" i="15"/>
  <c r="BH4" i="16"/>
  <c r="BH28" i="13"/>
  <c r="BH19" i="13"/>
  <c r="BH82" i="12"/>
  <c r="BH4" i="13"/>
  <c r="BH46" i="12"/>
  <c r="BH59" i="12"/>
  <c r="BH23" i="11"/>
  <c r="BH69" i="12"/>
  <c r="BH18" i="12"/>
  <c r="BH4" i="12"/>
  <c r="BH4" i="11"/>
  <c r="BH12" i="10"/>
  <c r="BH4" i="10"/>
  <c r="BH19" i="10"/>
  <c r="BH35" i="9"/>
  <c r="BH4" i="8"/>
  <c r="BH320" i="6"/>
  <c r="BH351" i="6"/>
  <c r="BH352" i="6" s="1"/>
  <c r="BH259" i="6"/>
  <c r="BH331" i="6"/>
  <c r="BH332" i="6" s="1"/>
  <c r="BH275" i="6"/>
  <c r="BH336" i="6"/>
  <c r="BH337" i="6" s="1"/>
  <c r="BH301" i="6"/>
  <c r="BH302" i="6" s="1"/>
  <c r="BH202" i="6"/>
  <c r="BH4" i="9"/>
  <c r="BH312" i="6"/>
  <c r="BH4" i="7"/>
  <c r="BH10" i="9"/>
  <c r="BH346" i="6"/>
  <c r="BH347" i="6" s="1"/>
  <c r="BH296" i="6"/>
  <c r="BH297" i="6" s="1"/>
  <c r="BH106" i="6"/>
  <c r="BH188" i="6"/>
  <c r="BH73" i="6"/>
  <c r="BH80" i="6"/>
  <c r="BH140" i="6"/>
  <c r="BH86" i="6"/>
  <c r="BH93" i="6"/>
  <c r="BH126" i="6"/>
  <c r="BH100" i="6"/>
  <c r="BH46" i="6"/>
  <c r="BH23" i="6"/>
  <c r="BH24" i="6" s="1"/>
  <c r="BH60" i="6"/>
  <c r="BH4" i="6"/>
  <c r="BH33" i="6"/>
  <c r="BH11" i="6"/>
  <c r="BH12" i="6" s="1"/>
  <c r="BH53" i="6"/>
  <c r="BI28" i="6"/>
  <c r="BH66" i="6"/>
  <c r="BH40" i="6"/>
  <c r="BH35" i="10"/>
  <c r="T34" i="18"/>
  <c r="T35" i="18" s="1"/>
  <c r="T13" i="18" s="1"/>
  <c r="T15" i="18" s="1"/>
  <c r="T48" i="18"/>
  <c r="T25" i="34" s="1"/>
  <c r="N64" i="51" s="1"/>
  <c r="T32" i="16"/>
  <c r="T45" i="16"/>
  <c r="T46" i="16" s="1"/>
  <c r="T41" i="16"/>
  <c r="T17" i="28" s="1"/>
  <c r="U15" i="37"/>
  <c r="P28" i="49" s="1"/>
  <c r="V60" i="12"/>
  <c r="BG14" i="37"/>
  <c r="BG64" i="12"/>
  <c r="BG72" i="12"/>
  <c r="BG76" i="12"/>
  <c r="BG77" i="12" s="1"/>
  <c r="BE8" i="37"/>
  <c r="BE16" i="12"/>
  <c r="BE21" i="10"/>
  <c r="BE34" i="10"/>
  <c r="BE41" i="10"/>
  <c r="BE43" i="10" s="1"/>
  <c r="BE25" i="14" s="1"/>
  <c r="BE26" i="14" s="1"/>
  <c r="BG59" i="20"/>
  <c r="BG53" i="20"/>
  <c r="BG54" i="20" s="1"/>
  <c r="BG58" i="20" s="1"/>
  <c r="BG250" i="6"/>
  <c r="BG242" i="6"/>
  <c r="BG290" i="6"/>
  <c r="BG291" i="6" s="1"/>
  <c r="BG283" i="6"/>
  <c r="BG234" i="6"/>
  <c r="BG183" i="6"/>
  <c r="BG121" i="6"/>
  <c r="BG18" i="6"/>
  <c r="BG19" i="6" s="1"/>
  <c r="T48" i="17"/>
  <c r="T23" i="34" s="1"/>
  <c r="N62" i="51" s="1"/>
  <c r="T34" i="17"/>
  <c r="BE162" i="6"/>
  <c r="BE141" i="6"/>
  <c r="BE61" i="6"/>
  <c r="BE54" i="6"/>
  <c r="BE67" i="6"/>
  <c r="BG9" i="37"/>
  <c r="BG17" i="12"/>
  <c r="BG42" i="10"/>
  <c r="BG22" i="10"/>
  <c r="U17" i="37"/>
  <c r="P29" i="49" s="1"/>
  <c r="V70" i="12"/>
  <c r="U17" i="11"/>
  <c r="U18" i="11" s="1"/>
  <c r="BF2" i="4"/>
  <c r="BF2" i="40"/>
  <c r="BF2" i="37"/>
  <c r="BF2" i="34"/>
  <c r="BF2" i="31"/>
  <c r="BF2" i="21"/>
  <c r="BF2" i="28"/>
  <c r="BF2" i="22"/>
  <c r="BF60" i="20"/>
  <c r="BF2" i="19"/>
  <c r="BF2" i="20"/>
  <c r="BF2" i="17"/>
  <c r="BF2" i="18"/>
  <c r="BF2" i="16"/>
  <c r="BF2" i="15"/>
  <c r="BF2" i="13"/>
  <c r="BF2" i="14"/>
  <c r="BF2" i="12"/>
  <c r="BF2" i="10"/>
  <c r="BF2" i="9"/>
  <c r="BF2" i="11"/>
  <c r="BF2" i="8"/>
  <c r="BF2" i="7"/>
  <c r="BF319" i="6"/>
  <c r="BF321" i="6" s="1"/>
  <c r="BF282" i="6"/>
  <c r="BF284" i="6" s="1"/>
  <c r="BF276" i="6" s="1"/>
  <c r="BF277" i="6" s="1"/>
  <c r="BF270" i="6" s="1"/>
  <c r="BF249" i="6"/>
  <c r="BF251" i="6" s="1"/>
  <c r="BF21" i="18" s="1"/>
  <c r="BF233" i="6"/>
  <c r="BF235" i="6" s="1"/>
  <c r="BF21" i="17" s="1"/>
  <c r="BF209" i="6"/>
  <c r="BF313" i="6"/>
  <c r="BG314" i="6" s="1"/>
  <c r="BF241" i="6"/>
  <c r="BF243" i="6" s="1"/>
  <c r="BF20" i="16" s="1"/>
  <c r="BF182" i="6"/>
  <c r="BF184" i="6" s="1"/>
  <c r="BF189" i="6" s="1"/>
  <c r="BF190" i="6" s="1"/>
  <c r="BF194" i="6" s="1"/>
  <c r="BF120" i="6"/>
  <c r="BF122" i="6" s="1"/>
  <c r="BF127" i="6" s="1"/>
  <c r="BF128" i="6" s="1"/>
  <c r="BF132" i="6" s="1"/>
  <c r="BF114" i="6"/>
  <c r="BF115" i="6" s="1"/>
  <c r="BF92" i="6"/>
  <c r="BF52" i="6"/>
  <c r="BF147" i="6"/>
  <c r="BF176" i="6"/>
  <c r="BF177" i="6" s="1"/>
  <c r="BF32" i="6"/>
  <c r="BF2" i="6"/>
  <c r="BF72" i="6"/>
  <c r="BF61" i="20"/>
  <c r="BF67" i="20" s="1"/>
  <c r="T35" i="17"/>
  <c r="T13" i="17" s="1"/>
  <c r="T15" i="17" s="1"/>
  <c r="BG107" i="6"/>
  <c r="BG94" i="6"/>
  <c r="BG101" i="6"/>
  <c r="V28" i="10"/>
  <c r="BD49" i="15"/>
  <c r="BD27" i="14"/>
  <c r="BD9" i="28" s="1"/>
  <c r="AX5" i="51" s="1"/>
  <c r="BD34" i="15"/>
  <c r="BD12" i="14"/>
  <c r="U21" i="19"/>
  <c r="U21" i="15"/>
  <c r="W22" i="15" s="1"/>
  <c r="U43" i="15"/>
  <c r="U45" i="15" s="1"/>
  <c r="BF18" i="37"/>
  <c r="BF31" i="13"/>
  <c r="BF23" i="13"/>
  <c r="BF62" i="12"/>
  <c r="BF84" i="12"/>
  <c r="BG3" i="40"/>
  <c r="BG3" i="4"/>
  <c r="BG3" i="37"/>
  <c r="BG3" i="34"/>
  <c r="BG3" i="31"/>
  <c r="BG3" i="28"/>
  <c r="BG3" i="21"/>
  <c r="BG3" i="22"/>
  <c r="BG3" i="20"/>
  <c r="BG3" i="19"/>
  <c r="BG3" i="17"/>
  <c r="BG3" i="18"/>
  <c r="BG3" i="14"/>
  <c r="BG3" i="16"/>
  <c r="BG3" i="15"/>
  <c r="BG3" i="13"/>
  <c r="BG3" i="12"/>
  <c r="BG3" i="11"/>
  <c r="BG3" i="10"/>
  <c r="BG3" i="8"/>
  <c r="BG3" i="7"/>
  <c r="BG3" i="9"/>
  <c r="BG99" i="6"/>
  <c r="BG59" i="6"/>
  <c r="BG79" i="6"/>
  <c r="BG39" i="6"/>
  <c r="BG3" i="6"/>
  <c r="BG74" i="6"/>
  <c r="BG81" i="6"/>
  <c r="BG87" i="6"/>
  <c r="BE26" i="31"/>
  <c r="AY41" i="51" s="1"/>
  <c r="BF11" i="21"/>
  <c r="BF13" i="21" s="1"/>
  <c r="BE29" i="9"/>
  <c r="BE224" i="6"/>
  <c r="BE203" i="6"/>
  <c r="N13" i="51" l="1"/>
  <c r="O22" i="49"/>
  <c r="U10" i="31"/>
  <c r="O25" i="51" s="1"/>
  <c r="V41" i="15"/>
  <c r="W8" i="34"/>
  <c r="Q47" i="51" s="1"/>
  <c r="W44" i="15"/>
  <c r="T18" i="31"/>
  <c r="U11" i="18"/>
  <c r="BH94" i="6"/>
  <c r="BH101" i="6"/>
  <c r="BH107" i="6"/>
  <c r="BF67" i="6"/>
  <c r="BF61" i="6"/>
  <c r="BF54" i="6"/>
  <c r="U8" i="28"/>
  <c r="U19" i="16"/>
  <c r="U21" i="16" s="1"/>
  <c r="U26" i="11"/>
  <c r="U27" i="11" s="1"/>
  <c r="T33" i="16"/>
  <c r="T34" i="16" s="1"/>
  <c r="T13" i="16" s="1"/>
  <c r="T15" i="16" s="1"/>
  <c r="T47" i="16"/>
  <c r="T24" i="34" s="1"/>
  <c r="N63" i="51" s="1"/>
  <c r="BI4" i="4"/>
  <c r="BI4" i="40"/>
  <c r="BI4" i="37"/>
  <c r="BI4" i="34"/>
  <c r="BI4" i="31"/>
  <c r="BI4" i="28"/>
  <c r="BI4" i="22"/>
  <c r="BI4" i="21"/>
  <c r="BI4" i="20"/>
  <c r="BI10" i="21"/>
  <c r="BI74" i="20"/>
  <c r="BI4" i="19"/>
  <c r="BI32" i="20"/>
  <c r="BI28" i="19"/>
  <c r="BI10" i="17"/>
  <c r="BI4" i="18"/>
  <c r="BI10" i="18"/>
  <c r="BI4" i="17"/>
  <c r="BI40" i="15"/>
  <c r="BI4" i="14"/>
  <c r="BI4" i="15"/>
  <c r="BI4" i="16"/>
  <c r="BI10" i="16"/>
  <c r="BI27" i="15"/>
  <c r="BI19" i="13"/>
  <c r="BI4" i="13"/>
  <c r="BI82" i="12"/>
  <c r="BI46" i="12"/>
  <c r="BI28" i="13"/>
  <c r="BI4" i="11"/>
  <c r="BI69" i="12"/>
  <c r="BI18" i="12"/>
  <c r="BI4" i="12"/>
  <c r="BI59" i="12"/>
  <c r="BI23" i="11"/>
  <c r="BI12" i="10"/>
  <c r="BI4" i="10"/>
  <c r="BI336" i="6"/>
  <c r="BI337" i="6" s="1"/>
  <c r="BI19" i="10"/>
  <c r="BI4" i="9"/>
  <c r="BI4" i="7"/>
  <c r="BI35" i="9"/>
  <c r="BI331" i="6"/>
  <c r="BI332" i="6" s="1"/>
  <c r="BI275" i="6"/>
  <c r="BI301" i="6"/>
  <c r="BI302" i="6" s="1"/>
  <c r="BI4" i="8"/>
  <c r="BI312" i="6"/>
  <c r="BI320" i="6"/>
  <c r="BI10" i="9"/>
  <c r="BI346" i="6"/>
  <c r="BI347" i="6" s="1"/>
  <c r="BI296" i="6"/>
  <c r="BI297" i="6" s="1"/>
  <c r="BI351" i="6"/>
  <c r="BI352" i="6" s="1"/>
  <c r="BI259" i="6"/>
  <c r="BI188" i="6"/>
  <c r="BI202" i="6"/>
  <c r="BI80" i="6"/>
  <c r="BI4" i="6"/>
  <c r="BI140" i="6"/>
  <c r="BI86" i="6"/>
  <c r="BI93" i="6"/>
  <c r="BI126" i="6"/>
  <c r="BI100" i="6"/>
  <c r="BI106" i="6"/>
  <c r="BI53" i="6"/>
  <c r="BI23" i="6"/>
  <c r="BI24" i="6" s="1"/>
  <c r="BI60" i="6"/>
  <c r="BI33" i="6"/>
  <c r="BI11" i="6"/>
  <c r="BI12" i="6" s="1"/>
  <c r="BI73" i="6"/>
  <c r="BJ28" i="6"/>
  <c r="BI66" i="6"/>
  <c r="BI46" i="6"/>
  <c r="BI40" i="6"/>
  <c r="BI35" i="10"/>
  <c r="BH47" i="6"/>
  <c r="BH41" i="6"/>
  <c r="BH34" i="6"/>
  <c r="BG32" i="12"/>
  <c r="BG40" i="12"/>
  <c r="BG13" i="10"/>
  <c r="BG14" i="10" s="1"/>
  <c r="BH74" i="6"/>
  <c r="BH81" i="6"/>
  <c r="BH87" i="6"/>
  <c r="BF224" i="6"/>
  <c r="BF203" i="6"/>
  <c r="V27" i="10"/>
  <c r="V29" i="10" s="1"/>
  <c r="BH59" i="20"/>
  <c r="BH53" i="20"/>
  <c r="BH54" i="20" s="1"/>
  <c r="BH58" i="20" s="1"/>
  <c r="BH234" i="6"/>
  <c r="BH242" i="6"/>
  <c r="BH183" i="6"/>
  <c r="BH290" i="6"/>
  <c r="BH291" i="6" s="1"/>
  <c r="BH283" i="6"/>
  <c r="BH250" i="6"/>
  <c r="BH121" i="6"/>
  <c r="BH18" i="6"/>
  <c r="BH19" i="6" s="1"/>
  <c r="T16" i="31"/>
  <c r="U11" i="17"/>
  <c r="BG18" i="37"/>
  <c r="BG31" i="13"/>
  <c r="BG23" i="13"/>
  <c r="BG62" i="12"/>
  <c r="BG84" i="12"/>
  <c r="BF26" i="31"/>
  <c r="AZ41" i="51" s="1"/>
  <c r="BG11" i="21"/>
  <c r="BG13" i="21" s="1"/>
  <c r="BF29" i="9"/>
  <c r="BG2" i="4"/>
  <c r="BG2" i="40"/>
  <c r="BG2" i="37"/>
  <c r="BG2" i="34"/>
  <c r="BG2" i="31"/>
  <c r="BG2" i="28"/>
  <c r="BG2" i="22"/>
  <c r="BG60" i="20"/>
  <c r="BG2" i="21"/>
  <c r="BG2" i="20"/>
  <c r="BG2" i="18"/>
  <c r="BG2" i="19"/>
  <c r="BG2" i="17"/>
  <c r="BG2" i="16"/>
  <c r="BG2" i="15"/>
  <c r="BG2" i="13"/>
  <c r="BG2" i="14"/>
  <c r="BG2" i="12"/>
  <c r="BG2" i="8"/>
  <c r="BG2" i="11"/>
  <c r="BG2" i="10"/>
  <c r="BG2" i="9"/>
  <c r="BG2" i="7"/>
  <c r="BG282" i="6"/>
  <c r="BG284" i="6" s="1"/>
  <c r="BG276" i="6" s="1"/>
  <c r="BG277" i="6" s="1"/>
  <c r="BG270" i="6" s="1"/>
  <c r="BG249" i="6"/>
  <c r="BG251" i="6" s="1"/>
  <c r="BG21" i="18" s="1"/>
  <c r="BG313" i="6"/>
  <c r="BH314" i="6" s="1"/>
  <c r="BG241" i="6"/>
  <c r="BG243" i="6" s="1"/>
  <c r="BG20" i="16" s="1"/>
  <c r="BG319" i="6"/>
  <c r="BG321" i="6" s="1"/>
  <c r="BG176" i="6"/>
  <c r="BG177" i="6" s="1"/>
  <c r="BG114" i="6"/>
  <c r="BG115" i="6" s="1"/>
  <c r="BG92" i="6"/>
  <c r="BG209" i="6"/>
  <c r="BG182" i="6"/>
  <c r="BG184" i="6" s="1"/>
  <c r="BG189" i="6" s="1"/>
  <c r="BG190" i="6" s="1"/>
  <c r="BG194" i="6" s="1"/>
  <c r="BG147" i="6"/>
  <c r="BG233" i="6"/>
  <c r="BG235" i="6" s="1"/>
  <c r="BG21" i="17" s="1"/>
  <c r="BG120" i="6"/>
  <c r="BG122" i="6" s="1"/>
  <c r="BG127" i="6" s="1"/>
  <c r="BG128" i="6" s="1"/>
  <c r="BG132" i="6" s="1"/>
  <c r="BG32" i="6"/>
  <c r="BG2" i="6"/>
  <c r="BG72" i="6"/>
  <c r="BG52" i="6"/>
  <c r="BG61" i="20"/>
  <c r="BG67" i="20" s="1"/>
  <c r="BE49" i="15"/>
  <c r="BE27" i="14"/>
  <c r="BE9" i="28" s="1"/>
  <c r="AY5" i="51" s="1"/>
  <c r="BE34" i="15"/>
  <c r="BE12" i="14"/>
  <c r="BF8" i="37"/>
  <c r="BF16" i="12"/>
  <c r="BF34" i="10"/>
  <c r="BF21" i="10"/>
  <c r="BF41" i="10"/>
  <c r="BF43" i="10" s="1"/>
  <c r="BF25" i="14" s="1"/>
  <c r="BF26" i="14" s="1"/>
  <c r="BE19" i="37"/>
  <c r="BF83" i="12"/>
  <c r="BF85" i="12" s="1"/>
  <c r="BH9" i="37"/>
  <c r="BH17" i="12"/>
  <c r="BH42" i="10"/>
  <c r="BH22" i="10"/>
  <c r="BF162" i="6"/>
  <c r="BF141" i="6"/>
  <c r="BH3" i="40"/>
  <c r="BH3" i="4"/>
  <c r="BH3" i="37"/>
  <c r="BH3" i="34"/>
  <c r="BH3" i="28"/>
  <c r="BH3" i="31"/>
  <c r="BH3" i="22"/>
  <c r="BH3" i="21"/>
  <c r="BH3" i="20"/>
  <c r="BH3" i="19"/>
  <c r="BH3" i="18"/>
  <c r="BH3" i="17"/>
  <c r="BH3" i="16"/>
  <c r="BH3" i="15"/>
  <c r="BH3" i="14"/>
  <c r="BH3" i="13"/>
  <c r="BH3" i="11"/>
  <c r="BH3" i="10"/>
  <c r="BH3" i="12"/>
  <c r="BH3" i="8"/>
  <c r="BH3" i="7"/>
  <c r="BH3" i="9"/>
  <c r="BH99" i="6"/>
  <c r="BH79" i="6"/>
  <c r="BH39" i="6"/>
  <c r="BH59" i="6"/>
  <c r="BH3" i="6"/>
  <c r="BH14" i="37"/>
  <c r="BH72" i="12"/>
  <c r="BH76" i="12"/>
  <c r="BH77" i="12" s="1"/>
  <c r="BH64" i="12"/>
  <c r="O4" i="51" l="1"/>
  <c r="P12" i="49"/>
  <c r="N33" i="51"/>
  <c r="O10" i="49"/>
  <c r="N31" i="51"/>
  <c r="O9" i="49"/>
  <c r="BF19" i="37"/>
  <c r="BG83" i="12"/>
  <c r="BG85" i="12" s="1"/>
  <c r="U14" i="31"/>
  <c r="O29" i="51" s="1"/>
  <c r="V24" i="11"/>
  <c r="T17" i="31"/>
  <c r="U11" i="16"/>
  <c r="BI3" i="4"/>
  <c r="BI3" i="40"/>
  <c r="BI3" i="37"/>
  <c r="BI3" i="34"/>
  <c r="BI3" i="31"/>
  <c r="BI3" i="22"/>
  <c r="BI3" i="28"/>
  <c r="BI3" i="21"/>
  <c r="BI3" i="20"/>
  <c r="BI3" i="19"/>
  <c r="BI3" i="17"/>
  <c r="BI3" i="18"/>
  <c r="BI3" i="16"/>
  <c r="BI3" i="15"/>
  <c r="BI3" i="13"/>
  <c r="BI3" i="14"/>
  <c r="BI3" i="12"/>
  <c r="BI3" i="11"/>
  <c r="BI3" i="10"/>
  <c r="BI3" i="8"/>
  <c r="BI3" i="7"/>
  <c r="BI3" i="9"/>
  <c r="BI79" i="6"/>
  <c r="BI99" i="6"/>
  <c r="BI3" i="6"/>
  <c r="BI39" i="6"/>
  <c r="BI59" i="6"/>
  <c r="U19" i="34"/>
  <c r="O58" i="51" s="1"/>
  <c r="U12" i="16"/>
  <c r="U26" i="16"/>
  <c r="W27" i="16" s="1"/>
  <c r="V11" i="11"/>
  <c r="V12" i="11" s="1"/>
  <c r="V53" i="12"/>
  <c r="V54" i="12" s="1"/>
  <c r="V23" i="10"/>
  <c r="V24" i="10" s="1"/>
  <c r="BG8" i="37"/>
  <c r="BG16" i="12"/>
  <c r="BG41" i="10"/>
  <c r="BG43" i="10" s="1"/>
  <c r="BG25" i="14" s="1"/>
  <c r="BG26" i="14" s="1"/>
  <c r="BG34" i="10"/>
  <c r="BG21" i="10"/>
  <c r="BI14" i="37"/>
  <c r="BI72" i="12"/>
  <c r="BI76" i="12"/>
  <c r="BI77" i="12" s="1"/>
  <c r="BI64" i="12"/>
  <c r="BH32" i="12"/>
  <c r="BH40" i="12"/>
  <c r="BH13" i="10"/>
  <c r="BH14" i="10" s="1"/>
  <c r="BF49" i="15"/>
  <c r="BF34" i="15"/>
  <c r="BF27" i="14"/>
  <c r="BF9" i="28" s="1"/>
  <c r="AZ5" i="51" s="1"/>
  <c r="BF12" i="14"/>
  <c r="BJ4" i="40"/>
  <c r="BJ4" i="4"/>
  <c r="BJ4" i="37"/>
  <c r="BJ4" i="34"/>
  <c r="BJ4" i="31"/>
  <c r="BJ4" i="28"/>
  <c r="BJ4" i="22"/>
  <c r="BJ10" i="21"/>
  <c r="BJ4" i="21"/>
  <c r="BJ74" i="20"/>
  <c r="BJ32" i="20"/>
  <c r="BJ28" i="19"/>
  <c r="BJ4" i="20"/>
  <c r="BJ4" i="19"/>
  <c r="BJ10" i="17"/>
  <c r="BJ4" i="18"/>
  <c r="BJ4" i="16"/>
  <c r="BJ10" i="18"/>
  <c r="BJ4" i="17"/>
  <c r="BJ10" i="16"/>
  <c r="BJ40" i="15"/>
  <c r="BJ4" i="15"/>
  <c r="BJ27" i="15"/>
  <c r="BJ82" i="12"/>
  <c r="BJ4" i="14"/>
  <c r="BJ19" i="13"/>
  <c r="BJ4" i="13"/>
  <c r="BJ46" i="12"/>
  <c r="BJ28" i="13"/>
  <c r="BJ69" i="12"/>
  <c r="BJ18" i="12"/>
  <c r="BJ4" i="12"/>
  <c r="BJ59" i="12"/>
  <c r="BJ23" i="11"/>
  <c r="BJ4" i="11"/>
  <c r="BJ19" i="10"/>
  <c r="BJ12" i="10"/>
  <c r="BJ10" i="9"/>
  <c r="BJ4" i="10"/>
  <c r="BJ4" i="9"/>
  <c r="BJ4" i="7"/>
  <c r="BJ351" i="6"/>
  <c r="BJ352" i="6" s="1"/>
  <c r="BJ35" i="9"/>
  <c r="BJ4" i="8"/>
  <c r="BJ301" i="6"/>
  <c r="BJ302" i="6" s="1"/>
  <c r="BJ336" i="6"/>
  <c r="BJ337" i="6" s="1"/>
  <c r="BJ312" i="6"/>
  <c r="BJ320" i="6"/>
  <c r="BJ188" i="6"/>
  <c r="BJ346" i="6"/>
  <c r="BJ347" i="6" s="1"/>
  <c r="BJ296" i="6"/>
  <c r="BJ297" i="6" s="1"/>
  <c r="BJ259" i="6"/>
  <c r="BJ331" i="6"/>
  <c r="BJ332" i="6" s="1"/>
  <c r="BJ275" i="6"/>
  <c r="BJ202" i="6"/>
  <c r="BJ80" i="6"/>
  <c r="BJ140" i="6"/>
  <c r="BJ86" i="6"/>
  <c r="BJ33" i="6"/>
  <c r="BJ11" i="6"/>
  <c r="BJ12" i="6" s="1"/>
  <c r="BJ93" i="6"/>
  <c r="BJ126" i="6"/>
  <c r="BJ100" i="6"/>
  <c r="BJ106" i="6"/>
  <c r="BJ60" i="6"/>
  <c r="BJ4" i="6"/>
  <c r="BJ73" i="6"/>
  <c r="BJ53" i="6"/>
  <c r="BK28" i="6"/>
  <c r="BJ66" i="6"/>
  <c r="BJ46" i="6"/>
  <c r="BJ40" i="6"/>
  <c r="BJ23" i="6"/>
  <c r="BJ24" i="6" s="1"/>
  <c r="BJ35" i="10"/>
  <c r="BI74" i="6"/>
  <c r="BI81" i="6"/>
  <c r="BI87" i="6"/>
  <c r="BG162" i="6"/>
  <c r="BG141" i="6"/>
  <c r="BI34" i="6"/>
  <c r="BI47" i="6"/>
  <c r="BI41" i="6"/>
  <c r="U27" i="18"/>
  <c r="U28" i="18" s="1"/>
  <c r="U40" i="18"/>
  <c r="U41" i="18" s="1"/>
  <c r="BI53" i="20"/>
  <c r="BI54" i="20" s="1"/>
  <c r="BI58" i="20" s="1"/>
  <c r="BI59" i="20"/>
  <c r="BI234" i="6"/>
  <c r="BI242" i="6"/>
  <c r="BI290" i="6"/>
  <c r="BI291" i="6" s="1"/>
  <c r="BI283" i="6"/>
  <c r="BI250" i="6"/>
  <c r="BI183" i="6"/>
  <c r="BI121" i="6"/>
  <c r="BI18" i="6"/>
  <c r="BI19" i="6" s="1"/>
  <c r="BI94" i="6"/>
  <c r="BI101" i="6"/>
  <c r="BI107" i="6"/>
  <c r="BG203" i="6"/>
  <c r="BG224" i="6"/>
  <c r="U40" i="17"/>
  <c r="U41" i="17" s="1"/>
  <c r="BH18" i="37"/>
  <c r="BH31" i="13"/>
  <c r="BH23" i="13"/>
  <c r="BH62" i="12"/>
  <c r="BH84" i="12"/>
  <c r="BG54" i="6"/>
  <c r="BG67" i="6"/>
  <c r="BG61" i="6"/>
  <c r="BG26" i="31"/>
  <c r="BA41" i="51" s="1"/>
  <c r="BH11" i="21"/>
  <c r="BH13" i="21" s="1"/>
  <c r="BG29" i="9"/>
  <c r="BH2" i="4"/>
  <c r="BH2" i="40"/>
  <c r="BH2" i="37"/>
  <c r="BH2" i="31"/>
  <c r="BH2" i="34"/>
  <c r="BH2" i="28"/>
  <c r="BH2" i="22"/>
  <c r="BH60" i="20"/>
  <c r="BH61" i="20" s="1"/>
  <c r="BH67" i="20" s="1"/>
  <c r="BH2" i="21"/>
  <c r="BH2" i="20"/>
  <c r="BH2" i="18"/>
  <c r="BH2" i="19"/>
  <c r="BH2" i="17"/>
  <c r="BH2" i="14"/>
  <c r="BH2" i="16"/>
  <c r="BH2" i="15"/>
  <c r="BH2" i="13"/>
  <c r="BH2" i="12"/>
  <c r="BH2" i="11"/>
  <c r="BH2" i="10"/>
  <c r="BH2" i="8"/>
  <c r="BH249" i="6"/>
  <c r="BH251" i="6" s="1"/>
  <c r="BH21" i="18" s="1"/>
  <c r="BH2" i="9"/>
  <c r="BH313" i="6"/>
  <c r="BI314" i="6" s="1"/>
  <c r="BH241" i="6"/>
  <c r="BH243" i="6" s="1"/>
  <c r="BH20" i="16" s="1"/>
  <c r="BH319" i="6"/>
  <c r="BH321" i="6" s="1"/>
  <c r="BH2" i="7"/>
  <c r="BH282" i="6"/>
  <c r="BH284" i="6" s="1"/>
  <c r="BH276" i="6" s="1"/>
  <c r="BH277" i="6" s="1"/>
  <c r="BH270" i="6" s="1"/>
  <c r="BH209" i="6"/>
  <c r="BH182" i="6"/>
  <c r="BH184" i="6" s="1"/>
  <c r="BH189" i="6" s="1"/>
  <c r="BH190" i="6" s="1"/>
  <c r="BH194" i="6" s="1"/>
  <c r="BH147" i="6"/>
  <c r="BH233" i="6"/>
  <c r="BH235" i="6" s="1"/>
  <c r="BH21" i="17" s="1"/>
  <c r="BH176" i="6"/>
  <c r="BH177" i="6" s="1"/>
  <c r="BH120" i="6"/>
  <c r="BH122" i="6" s="1"/>
  <c r="BH127" i="6" s="1"/>
  <c r="BH128" i="6" s="1"/>
  <c r="BH132" i="6" s="1"/>
  <c r="BH114" i="6"/>
  <c r="BH115" i="6" s="1"/>
  <c r="BH92" i="6"/>
  <c r="BH2" i="6"/>
  <c r="BH32" i="6"/>
  <c r="BH72" i="6"/>
  <c r="BH52" i="6"/>
  <c r="BI9" i="37"/>
  <c r="BI17" i="12"/>
  <c r="BI42" i="10"/>
  <c r="BI22" i="10"/>
  <c r="N32" i="51" l="1"/>
  <c r="O8" i="49"/>
  <c r="BH8" i="37"/>
  <c r="BH16" i="12"/>
  <c r="BH41" i="10"/>
  <c r="BH43" i="10" s="1"/>
  <c r="BH25" i="14" s="1"/>
  <c r="BH26" i="14" s="1"/>
  <c r="BH34" i="10"/>
  <c r="BH21" i="10"/>
  <c r="BH203" i="6"/>
  <c r="BH224" i="6"/>
  <c r="BJ94" i="6"/>
  <c r="BJ101" i="6"/>
  <c r="BJ107" i="6"/>
  <c r="V16" i="37"/>
  <c r="V63" i="12"/>
  <c r="V65" i="12" s="1"/>
  <c r="V71" i="12"/>
  <c r="V73" i="12" s="1"/>
  <c r="BI2" i="4"/>
  <c r="BI2" i="40"/>
  <c r="BI2" i="37"/>
  <c r="BI2" i="34"/>
  <c r="BI2" i="31"/>
  <c r="BI2" i="28"/>
  <c r="BI2" i="22"/>
  <c r="BI60" i="20"/>
  <c r="BI2" i="21"/>
  <c r="BI2" i="20"/>
  <c r="BI2" i="19"/>
  <c r="BI2" i="18"/>
  <c r="BI2" i="17"/>
  <c r="BI2" i="14"/>
  <c r="BI2" i="16"/>
  <c r="BI2" i="15"/>
  <c r="BI2" i="13"/>
  <c r="BI2" i="11"/>
  <c r="BI2" i="12"/>
  <c r="BI2" i="10"/>
  <c r="BI2" i="9"/>
  <c r="BI319" i="6"/>
  <c r="BI321" i="6" s="1"/>
  <c r="BI233" i="6"/>
  <c r="BI235" i="6" s="1"/>
  <c r="BI21" i="17" s="1"/>
  <c r="BI313" i="6"/>
  <c r="BI241" i="6"/>
  <c r="BI243" i="6" s="1"/>
  <c r="BI20" i="16" s="1"/>
  <c r="BI182" i="6"/>
  <c r="BI184" i="6" s="1"/>
  <c r="BI189" i="6" s="1"/>
  <c r="BI190" i="6" s="1"/>
  <c r="BI194" i="6" s="1"/>
  <c r="BI2" i="7"/>
  <c r="BI282" i="6"/>
  <c r="BI284" i="6" s="1"/>
  <c r="BI276" i="6" s="1"/>
  <c r="BI277" i="6" s="1"/>
  <c r="BI270" i="6" s="1"/>
  <c r="BI2" i="8"/>
  <c r="BI249" i="6"/>
  <c r="BI251" i="6" s="1"/>
  <c r="BI21" i="18" s="1"/>
  <c r="BI147" i="6"/>
  <c r="BI72" i="6"/>
  <c r="BI2" i="6"/>
  <c r="BI176" i="6"/>
  <c r="BI177" i="6" s="1"/>
  <c r="BI120" i="6"/>
  <c r="BI122" i="6" s="1"/>
  <c r="BI127" i="6" s="1"/>
  <c r="BI128" i="6" s="1"/>
  <c r="BI132" i="6" s="1"/>
  <c r="BI114" i="6"/>
  <c r="BI115" i="6" s="1"/>
  <c r="BI92" i="6"/>
  <c r="BI209" i="6"/>
  <c r="BI32" i="6"/>
  <c r="BI52" i="6"/>
  <c r="BJ3" i="4"/>
  <c r="BJ3" i="40"/>
  <c r="BJ3" i="37"/>
  <c r="BJ3" i="34"/>
  <c r="BJ3" i="31"/>
  <c r="BJ3" i="28"/>
  <c r="BJ3" i="21"/>
  <c r="BJ3" i="22"/>
  <c r="BJ3" i="19"/>
  <c r="BJ3" i="20"/>
  <c r="BJ3" i="17"/>
  <c r="BJ3" i="18"/>
  <c r="BJ3" i="16"/>
  <c r="BJ3" i="15"/>
  <c r="BJ3" i="14"/>
  <c r="BJ3" i="13"/>
  <c r="BJ3" i="12"/>
  <c r="BJ3" i="10"/>
  <c r="BJ3" i="9"/>
  <c r="BJ3" i="11"/>
  <c r="BJ3" i="8"/>
  <c r="BJ3" i="7"/>
  <c r="BJ79" i="6"/>
  <c r="BJ99" i="6"/>
  <c r="BJ39" i="6"/>
  <c r="BJ59" i="6"/>
  <c r="BJ3" i="6"/>
  <c r="V16" i="19"/>
  <c r="V17" i="19" s="1"/>
  <c r="V20" i="15"/>
  <c r="V42" i="15"/>
  <c r="V25" i="11"/>
  <c r="BG19" i="37"/>
  <c r="BH83" i="12"/>
  <c r="BH85" i="12" s="1"/>
  <c r="BI18" i="37"/>
  <c r="BI84" i="12"/>
  <c r="BI31" i="13"/>
  <c r="BI23" i="13"/>
  <c r="BI62" i="12"/>
  <c r="BI61" i="20"/>
  <c r="BI67" i="20" s="1"/>
  <c r="BJ74" i="6"/>
  <c r="BJ81" i="6"/>
  <c r="BJ87" i="6"/>
  <c r="BG34" i="15"/>
  <c r="BG12" i="14"/>
  <c r="BG49" i="15"/>
  <c r="BG27" i="14"/>
  <c r="BG9" i="28" s="1"/>
  <c r="BA5" i="51" s="1"/>
  <c r="U39" i="16"/>
  <c r="U40" i="16" s="1"/>
  <c r="BH26" i="31"/>
  <c r="BB41" i="51" s="1"/>
  <c r="BI11" i="21"/>
  <c r="BI13" i="21" s="1"/>
  <c r="BH29" i="9"/>
  <c r="U46" i="18"/>
  <c r="U47" i="18" s="1"/>
  <c r="U42" i="18"/>
  <c r="U18" i="28" s="1"/>
  <c r="U33" i="18"/>
  <c r="U46" i="17"/>
  <c r="U47" i="17" s="1"/>
  <c r="U42" i="17"/>
  <c r="U16" i="28" s="1"/>
  <c r="U33" i="17"/>
  <c r="U14" i="18"/>
  <c r="U29" i="18"/>
  <c r="U22" i="34" s="1"/>
  <c r="O61" i="51" s="1"/>
  <c r="BK4" i="40"/>
  <c r="BK4" i="4"/>
  <c r="BK4" i="37"/>
  <c r="BK4" i="34"/>
  <c r="BK4" i="31"/>
  <c r="BK4" i="28"/>
  <c r="BK74" i="20"/>
  <c r="BK4" i="21"/>
  <c r="BK4" i="22"/>
  <c r="BK10" i="21"/>
  <c r="BK4" i="20"/>
  <c r="BK32" i="20"/>
  <c r="BK4" i="18"/>
  <c r="BK28" i="19"/>
  <c r="BK4" i="19"/>
  <c r="BK10" i="18"/>
  <c r="BK4" i="17"/>
  <c r="BK10" i="17"/>
  <c r="BK4" i="15"/>
  <c r="BK40" i="15"/>
  <c r="BK4" i="14"/>
  <c r="BK4" i="16"/>
  <c r="BK28" i="13"/>
  <c r="BK27" i="15"/>
  <c r="BK10" i="16"/>
  <c r="BK19" i="13"/>
  <c r="BK82" i="12"/>
  <c r="BK4" i="13"/>
  <c r="BK46" i="12"/>
  <c r="BK69" i="12"/>
  <c r="BK59" i="12"/>
  <c r="BK18" i="12"/>
  <c r="BK4" i="12"/>
  <c r="BK4" i="11"/>
  <c r="BK4" i="10"/>
  <c r="BK23" i="11"/>
  <c r="BK19" i="10"/>
  <c r="BK35" i="9"/>
  <c r="BK4" i="8"/>
  <c r="BK12" i="10"/>
  <c r="BK10" i="9"/>
  <c r="BK331" i="6"/>
  <c r="BK332" i="6" s="1"/>
  <c r="BK336" i="6"/>
  <c r="BK337" i="6" s="1"/>
  <c r="BK312" i="6"/>
  <c r="BK320" i="6"/>
  <c r="BK4" i="9"/>
  <c r="BK346" i="6"/>
  <c r="BK347" i="6" s="1"/>
  <c r="BK296" i="6"/>
  <c r="BK297" i="6" s="1"/>
  <c r="BK4" i="7"/>
  <c r="BK259" i="6"/>
  <c r="BK351" i="6"/>
  <c r="BK352" i="6" s="1"/>
  <c r="BK275" i="6"/>
  <c r="BK301" i="6"/>
  <c r="BK302" i="6" s="1"/>
  <c r="BK202" i="6"/>
  <c r="BK80" i="6"/>
  <c r="BK140" i="6"/>
  <c r="BK86" i="6"/>
  <c r="BK93" i="6"/>
  <c r="BK40" i="6"/>
  <c r="BL28" i="6"/>
  <c r="BK126" i="6"/>
  <c r="BK100" i="6"/>
  <c r="BK106" i="6"/>
  <c r="BK188" i="6"/>
  <c r="BK66" i="6"/>
  <c r="BK33" i="6"/>
  <c r="BK73" i="6"/>
  <c r="BK53" i="6"/>
  <c r="BK46" i="6"/>
  <c r="BK23" i="6"/>
  <c r="BK24" i="6" s="1"/>
  <c r="BK60" i="6"/>
  <c r="BK4" i="6"/>
  <c r="BK11" i="6"/>
  <c r="BK12" i="6" s="1"/>
  <c r="BK35" i="10"/>
  <c r="BJ41" i="6"/>
  <c r="BJ47" i="6"/>
  <c r="BJ34" i="6"/>
  <c r="W28" i="16"/>
  <c r="W20" i="34" s="1"/>
  <c r="Q59" i="51" s="1"/>
  <c r="W14" i="16"/>
  <c r="BJ14" i="37"/>
  <c r="BJ76" i="12"/>
  <c r="BJ77" i="12" s="1"/>
  <c r="BJ72" i="12"/>
  <c r="BJ64" i="12"/>
  <c r="BH141" i="6"/>
  <c r="BH162" i="6"/>
  <c r="BI40" i="12"/>
  <c r="BI32" i="12"/>
  <c r="BI13" i="10"/>
  <c r="BI14" i="10" s="1"/>
  <c r="BJ59" i="20"/>
  <c r="BJ53" i="20"/>
  <c r="BJ54" i="20" s="1"/>
  <c r="BJ58" i="20" s="1"/>
  <c r="BJ242" i="6"/>
  <c r="BJ290" i="6"/>
  <c r="BJ291" i="6" s="1"/>
  <c r="BJ283" i="6"/>
  <c r="BJ250" i="6"/>
  <c r="BJ234" i="6"/>
  <c r="BJ121" i="6"/>
  <c r="BJ18" i="6"/>
  <c r="BJ19" i="6" s="1"/>
  <c r="BJ183" i="6"/>
  <c r="BJ314" i="6"/>
  <c r="BH54" i="6"/>
  <c r="BH67" i="6"/>
  <c r="BH61" i="6"/>
  <c r="BJ9" i="37"/>
  <c r="BJ17" i="12"/>
  <c r="BJ42" i="10"/>
  <c r="BJ22" i="10"/>
  <c r="V10" i="37"/>
  <c r="Q26" i="49" s="1"/>
  <c r="V24" i="12"/>
  <c r="V26" i="12" s="1"/>
  <c r="V31" i="12" s="1"/>
  <c r="V33" i="12" s="1"/>
  <c r="W20" i="10"/>
  <c r="O12" i="51" l="1"/>
  <c r="P21" i="49"/>
  <c r="O14" i="51"/>
  <c r="P23" i="49"/>
  <c r="BJ18" i="37"/>
  <c r="BJ31" i="13"/>
  <c r="BJ23" i="13"/>
  <c r="BJ84" i="12"/>
  <c r="BJ62" i="12"/>
  <c r="BK9" i="37"/>
  <c r="BK17" i="12"/>
  <c r="BK42" i="10"/>
  <c r="BK22" i="10"/>
  <c r="BJ40" i="12"/>
  <c r="BJ32" i="12"/>
  <c r="BJ13" i="10"/>
  <c r="BJ14" i="10" s="1"/>
  <c r="BK59" i="20"/>
  <c r="BK53" i="20"/>
  <c r="BK54" i="20" s="1"/>
  <c r="BK58" i="20" s="1"/>
  <c r="BK242" i="6"/>
  <c r="BK290" i="6"/>
  <c r="BK291" i="6" s="1"/>
  <c r="BK283" i="6"/>
  <c r="BK250" i="6"/>
  <c r="BK234" i="6"/>
  <c r="BK121" i="6"/>
  <c r="BK183" i="6"/>
  <c r="BK18" i="6"/>
  <c r="BK19" i="6" s="1"/>
  <c r="BI61" i="6"/>
  <c r="BI54" i="6"/>
  <c r="BI67" i="6"/>
  <c r="V17" i="37"/>
  <c r="Q29" i="49" s="1"/>
  <c r="W70" i="12"/>
  <c r="V17" i="11"/>
  <c r="V18" i="11" s="1"/>
  <c r="BK14" i="37"/>
  <c r="BK72" i="12"/>
  <c r="BK76" i="12"/>
  <c r="BK77" i="12" s="1"/>
  <c r="BK64" i="12"/>
  <c r="U34" i="18"/>
  <c r="U35" i="18" s="1"/>
  <c r="U13" i="18" s="1"/>
  <c r="U15" i="18" s="1"/>
  <c r="U48" i="18"/>
  <c r="U25" i="34" s="1"/>
  <c r="O64" i="51" s="1"/>
  <c r="U32" i="16"/>
  <c r="U45" i="16"/>
  <c r="U46" i="16" s="1"/>
  <c r="U41" i="16"/>
  <c r="U17" i="28" s="1"/>
  <c r="V15" i="37"/>
  <c r="Q28" i="49" s="1"/>
  <c r="W60" i="12"/>
  <c r="BK3" i="4"/>
  <c r="BK3" i="40"/>
  <c r="BK3" i="37"/>
  <c r="BK3" i="34"/>
  <c r="BK3" i="31"/>
  <c r="BK3" i="28"/>
  <c r="BK3" i="22"/>
  <c r="BK3" i="21"/>
  <c r="BK3" i="20"/>
  <c r="BK3" i="18"/>
  <c r="BK3" i="19"/>
  <c r="BK3" i="17"/>
  <c r="BK3" i="16"/>
  <c r="BK3" i="15"/>
  <c r="BK3" i="14"/>
  <c r="BK3" i="13"/>
  <c r="BK3" i="12"/>
  <c r="BK3" i="8"/>
  <c r="BK3" i="11"/>
  <c r="BK3" i="10"/>
  <c r="BK3" i="9"/>
  <c r="BK3" i="7"/>
  <c r="BK79" i="6"/>
  <c r="BK99" i="6"/>
  <c r="BK59" i="6"/>
  <c r="BK3" i="6"/>
  <c r="BK39" i="6"/>
  <c r="BI141" i="6"/>
  <c r="BI162" i="6"/>
  <c r="W28" i="10"/>
  <c r="V11" i="37"/>
  <c r="V13" i="15"/>
  <c r="V14" i="15" s="1"/>
  <c r="V20" i="17"/>
  <c r="V22" i="17" s="1"/>
  <c r="V21" i="13"/>
  <c r="V24" i="13" s="1"/>
  <c r="V39" i="12"/>
  <c r="AB41" i="12" s="1"/>
  <c r="V48" i="12"/>
  <c r="V50" i="12" s="1"/>
  <c r="V17" i="9"/>
  <c r="V18" i="9" s="1"/>
  <c r="BK47" i="6"/>
  <c r="BK41" i="6"/>
  <c r="BK34" i="6"/>
  <c r="BI224" i="6"/>
  <c r="BI203" i="6"/>
  <c r="BL4" i="40"/>
  <c r="BL4" i="4"/>
  <c r="BL4" i="37"/>
  <c r="BL4" i="34"/>
  <c r="BL4" i="31"/>
  <c r="BL4" i="28"/>
  <c r="BL4" i="22"/>
  <c r="BL10" i="21"/>
  <c r="BL32" i="20"/>
  <c r="BL74" i="20"/>
  <c r="BL4" i="21"/>
  <c r="BL4" i="20"/>
  <c r="BL28" i="19"/>
  <c r="BL4" i="19"/>
  <c r="BL10" i="18"/>
  <c r="BL4" i="18"/>
  <c r="BL4" i="17"/>
  <c r="BL40" i="15"/>
  <c r="BL10" i="17"/>
  <c r="BL27" i="15"/>
  <c r="BL4" i="15"/>
  <c r="BL4" i="16"/>
  <c r="BL10" i="16"/>
  <c r="BL4" i="14"/>
  <c r="BL19" i="13"/>
  <c r="BL82" i="12"/>
  <c r="BL4" i="13"/>
  <c r="BL46" i="12"/>
  <c r="BL28" i="13"/>
  <c r="BL69" i="12"/>
  <c r="BL59" i="12"/>
  <c r="BL4" i="12"/>
  <c r="BL23" i="11"/>
  <c r="BL18" i="12"/>
  <c r="BL12" i="10"/>
  <c r="BL4" i="10"/>
  <c r="BL4" i="11"/>
  <c r="BL19" i="10"/>
  <c r="BL346" i="6"/>
  <c r="BL347" i="6" s="1"/>
  <c r="BL312" i="6"/>
  <c r="BL4" i="8"/>
  <c r="BL320" i="6"/>
  <c r="BL35" i="9"/>
  <c r="BL4" i="9"/>
  <c r="BL296" i="6"/>
  <c r="BL297" i="6" s="1"/>
  <c r="BL4" i="7"/>
  <c r="BL259" i="6"/>
  <c r="BL10" i="9"/>
  <c r="BL351" i="6"/>
  <c r="BL352" i="6" s="1"/>
  <c r="BL275" i="6"/>
  <c r="BL331" i="6"/>
  <c r="BL332" i="6" s="1"/>
  <c r="BL301" i="6"/>
  <c r="BL302" i="6" s="1"/>
  <c r="BL336" i="6"/>
  <c r="BL337" i="6" s="1"/>
  <c r="BL202" i="6"/>
  <c r="BL80" i="6"/>
  <c r="BL140" i="6"/>
  <c r="BL86" i="6"/>
  <c r="BL93" i="6"/>
  <c r="BL126" i="6"/>
  <c r="BL100" i="6"/>
  <c r="BL46" i="6"/>
  <c r="BL106" i="6"/>
  <c r="BL188" i="6"/>
  <c r="BL73" i="6"/>
  <c r="BL53" i="6"/>
  <c r="BM28" i="6"/>
  <c r="BL66" i="6"/>
  <c r="BL40" i="6"/>
  <c r="BL23" i="6"/>
  <c r="BL24" i="6" s="1"/>
  <c r="BL60" i="6"/>
  <c r="BL4" i="6"/>
  <c r="BL33" i="6"/>
  <c r="BL11" i="6"/>
  <c r="BL12" i="6" s="1"/>
  <c r="BL35" i="10"/>
  <c r="BK314" i="6"/>
  <c r="V21" i="19"/>
  <c r="V43" i="15"/>
  <c r="V45" i="15" s="1"/>
  <c r="V21" i="15"/>
  <c r="X22" i="15" s="1"/>
  <c r="BJ2" i="4"/>
  <c r="BJ2" i="40"/>
  <c r="BJ2" i="37"/>
  <c r="BJ2" i="34"/>
  <c r="BJ2" i="31"/>
  <c r="BJ2" i="28"/>
  <c r="BJ2" i="22"/>
  <c r="BJ60" i="20"/>
  <c r="BJ61" i="20" s="1"/>
  <c r="BJ67" i="20" s="1"/>
  <c r="BJ2" i="21"/>
  <c r="BJ2" i="20"/>
  <c r="BJ2" i="19"/>
  <c r="BJ2" i="18"/>
  <c r="BJ2" i="16"/>
  <c r="BJ2" i="17"/>
  <c r="BJ2" i="15"/>
  <c r="BJ2" i="14"/>
  <c r="BJ2" i="13"/>
  <c r="BJ2" i="12"/>
  <c r="BJ2" i="11"/>
  <c r="BJ2" i="10"/>
  <c r="BJ2" i="9"/>
  <c r="BJ2" i="7"/>
  <c r="BJ2" i="8"/>
  <c r="BJ233" i="6"/>
  <c r="BJ235" i="6" s="1"/>
  <c r="BJ21" i="17" s="1"/>
  <c r="BJ313" i="6"/>
  <c r="BJ241" i="6"/>
  <c r="BJ243" i="6" s="1"/>
  <c r="BJ20" i="16" s="1"/>
  <c r="BJ176" i="6"/>
  <c r="BJ177" i="6" s="1"/>
  <c r="BJ319" i="6"/>
  <c r="BJ321" i="6" s="1"/>
  <c r="BJ282" i="6"/>
  <c r="BJ284" i="6" s="1"/>
  <c r="BJ276" i="6" s="1"/>
  <c r="BJ277" i="6" s="1"/>
  <c r="BJ270" i="6" s="1"/>
  <c r="BJ249" i="6"/>
  <c r="BJ251" i="6" s="1"/>
  <c r="BJ21" i="18" s="1"/>
  <c r="BJ182" i="6"/>
  <c r="BJ184" i="6" s="1"/>
  <c r="BJ189" i="6" s="1"/>
  <c r="BJ190" i="6" s="1"/>
  <c r="BJ194" i="6" s="1"/>
  <c r="BJ147" i="6"/>
  <c r="BJ120" i="6"/>
  <c r="BJ122" i="6" s="1"/>
  <c r="BJ127" i="6" s="1"/>
  <c r="BJ128" i="6" s="1"/>
  <c r="BJ132" i="6" s="1"/>
  <c r="BJ114" i="6"/>
  <c r="BJ115" i="6" s="1"/>
  <c r="BJ92" i="6"/>
  <c r="BJ209" i="6"/>
  <c r="BJ52" i="6"/>
  <c r="BJ32" i="6"/>
  <c r="BJ2" i="6"/>
  <c r="BJ72" i="6"/>
  <c r="BK94" i="6"/>
  <c r="BK101" i="6"/>
  <c r="BK107" i="6"/>
  <c r="BK81" i="6"/>
  <c r="BK87" i="6"/>
  <c r="BK74" i="6"/>
  <c r="U48" i="17"/>
  <c r="U23" i="34" s="1"/>
  <c r="O62" i="51" s="1"/>
  <c r="U34" i="17"/>
  <c r="U35" i="17" s="1"/>
  <c r="U13" i="17" s="1"/>
  <c r="U15" i="17" s="1"/>
  <c r="BI26" i="31"/>
  <c r="BC41" i="51" s="1"/>
  <c r="BJ11" i="21"/>
  <c r="BJ13" i="21" s="1"/>
  <c r="BI29" i="9"/>
  <c r="BI8" i="37"/>
  <c r="BI16" i="12"/>
  <c r="BI41" i="10"/>
  <c r="BI43" i="10" s="1"/>
  <c r="BI25" i="14" s="1"/>
  <c r="BI26" i="14" s="1"/>
  <c r="BI34" i="10"/>
  <c r="BI21" i="10"/>
  <c r="BH19" i="37"/>
  <c r="BI83" i="12"/>
  <c r="BI85" i="12" s="1"/>
  <c r="BH34" i="15"/>
  <c r="BH12" i="14"/>
  <c r="BH49" i="15"/>
  <c r="BH27" i="14"/>
  <c r="BH9" i="28" s="1"/>
  <c r="BB5" i="51" s="1"/>
  <c r="O13" i="51" l="1"/>
  <c r="P22" i="49"/>
  <c r="V10" i="31"/>
  <c r="P25" i="51" s="1"/>
  <c r="W41" i="15"/>
  <c r="X8" i="34"/>
  <c r="R47" i="51" s="1"/>
  <c r="X44" i="15"/>
  <c r="U16" i="31"/>
  <c r="V11" i="17"/>
  <c r="BL53" i="20"/>
  <c r="BL54" i="20" s="1"/>
  <c r="BL58" i="20" s="1"/>
  <c r="BL59" i="20"/>
  <c r="BL242" i="6"/>
  <c r="BL290" i="6"/>
  <c r="BL291" i="6" s="1"/>
  <c r="BL283" i="6"/>
  <c r="BL250" i="6"/>
  <c r="BL234" i="6"/>
  <c r="BL121" i="6"/>
  <c r="BL183" i="6"/>
  <c r="BL18" i="6"/>
  <c r="BL19" i="6" s="1"/>
  <c r="BL9" i="37"/>
  <c r="BL17" i="12"/>
  <c r="BL22" i="10"/>
  <c r="BL42" i="10"/>
  <c r="U33" i="16"/>
  <c r="U47" i="16"/>
  <c r="U24" i="34" s="1"/>
  <c r="O63" i="51" s="1"/>
  <c r="BK18" i="37"/>
  <c r="BK84" i="12"/>
  <c r="BK31" i="13"/>
  <c r="BK23" i="13"/>
  <c r="BK62" i="12"/>
  <c r="BJ8" i="37"/>
  <c r="BJ16" i="12"/>
  <c r="BJ41" i="10"/>
  <c r="BJ43" i="10" s="1"/>
  <c r="BJ25" i="14" s="1"/>
  <c r="BJ26" i="14" s="1"/>
  <c r="BJ34" i="10"/>
  <c r="BJ21" i="10"/>
  <c r="BL94" i="6"/>
  <c r="BL101" i="6"/>
  <c r="BL107" i="6"/>
  <c r="BK40" i="12"/>
  <c r="BK32" i="12"/>
  <c r="BK13" i="10"/>
  <c r="BK14" i="10" s="1"/>
  <c r="BJ141" i="6"/>
  <c r="BJ162" i="6"/>
  <c r="BJ26" i="31"/>
  <c r="BD41" i="51" s="1"/>
  <c r="BK11" i="21"/>
  <c r="BK13" i="21" s="1"/>
  <c r="BJ29" i="9"/>
  <c r="BM4" i="4"/>
  <c r="BM4" i="40"/>
  <c r="BM4" i="37"/>
  <c r="BM4" i="34"/>
  <c r="BM4" i="22"/>
  <c r="BM4" i="31"/>
  <c r="BM4" i="28"/>
  <c r="BM10" i="21"/>
  <c r="BM74" i="20"/>
  <c r="BM4" i="21"/>
  <c r="BM4" i="20"/>
  <c r="BM32" i="20"/>
  <c r="BM4" i="19"/>
  <c r="BM28" i="19"/>
  <c r="BM4" i="18"/>
  <c r="BM4" i="17"/>
  <c r="BM10" i="18"/>
  <c r="BM10" i="17"/>
  <c r="BM4" i="15"/>
  <c r="BM4" i="16"/>
  <c r="BM19" i="13"/>
  <c r="BM4" i="13"/>
  <c r="BM10" i="16"/>
  <c r="BM27" i="15"/>
  <c r="BM4" i="14"/>
  <c r="BM40" i="15"/>
  <c r="BM82" i="12"/>
  <c r="BM28" i="13"/>
  <c r="BM69" i="12"/>
  <c r="BM59" i="12"/>
  <c r="BM4" i="12"/>
  <c r="BM4" i="11"/>
  <c r="BM18" i="12"/>
  <c r="BM46" i="12"/>
  <c r="BM23" i="11"/>
  <c r="BM19" i="10"/>
  <c r="BM35" i="9"/>
  <c r="BM10" i="9"/>
  <c r="BM12" i="10"/>
  <c r="BM4" i="10"/>
  <c r="BM312" i="6"/>
  <c r="BM4" i="8"/>
  <c r="BM320" i="6"/>
  <c r="BM4" i="9"/>
  <c r="BM296" i="6"/>
  <c r="BM297" i="6" s="1"/>
  <c r="BM4" i="7"/>
  <c r="BM346" i="6"/>
  <c r="BM347" i="6" s="1"/>
  <c r="BM259" i="6"/>
  <c r="BM351" i="6"/>
  <c r="BM352" i="6" s="1"/>
  <c r="BM275" i="6"/>
  <c r="BM331" i="6"/>
  <c r="BM332" i="6" s="1"/>
  <c r="BM301" i="6"/>
  <c r="BM302" i="6" s="1"/>
  <c r="BM336" i="6"/>
  <c r="BM337" i="6" s="1"/>
  <c r="BM202" i="6"/>
  <c r="BM140" i="6"/>
  <c r="BM86" i="6"/>
  <c r="BM93" i="6"/>
  <c r="BM126" i="6"/>
  <c r="BM100" i="6"/>
  <c r="BM106" i="6"/>
  <c r="BM53" i="6"/>
  <c r="BM23" i="6"/>
  <c r="BM24" i="6" s="1"/>
  <c r="BM188" i="6"/>
  <c r="BM80" i="6"/>
  <c r="BM4" i="6"/>
  <c r="BM73" i="6"/>
  <c r="BN28" i="6"/>
  <c r="BM66" i="6"/>
  <c r="BM46" i="6"/>
  <c r="BM40" i="6"/>
  <c r="BM60" i="6"/>
  <c r="BM33" i="6"/>
  <c r="BM11" i="6"/>
  <c r="BM12" i="6" s="1"/>
  <c r="BM35" i="10"/>
  <c r="BL14" i="37"/>
  <c r="BL64" i="12"/>
  <c r="BL72" i="12"/>
  <c r="BL76" i="12"/>
  <c r="BL77" i="12" s="1"/>
  <c r="V29" i="15"/>
  <c r="V10" i="12"/>
  <c r="V11" i="12" s="1"/>
  <c r="U34" i="16"/>
  <c r="U13" i="16" s="1"/>
  <c r="U15" i="16" s="1"/>
  <c r="BI19" i="37"/>
  <c r="BJ83" i="12"/>
  <c r="BJ85" i="12" s="1"/>
  <c r="V12" i="37"/>
  <c r="Q27" i="49" s="1"/>
  <c r="V12" i="13"/>
  <c r="V13" i="13" s="1"/>
  <c r="W47" i="12"/>
  <c r="AB13" i="37"/>
  <c r="AB20" i="18"/>
  <c r="AB22" i="18" s="1"/>
  <c r="AB61" i="12"/>
  <c r="AB49" i="12"/>
  <c r="BI12" i="14"/>
  <c r="BI49" i="15"/>
  <c r="BI27" i="14"/>
  <c r="BI9" i="28" s="1"/>
  <c r="BC5" i="51" s="1"/>
  <c r="BI34" i="15"/>
  <c r="BJ67" i="6"/>
  <c r="BJ54" i="6"/>
  <c r="BJ61" i="6"/>
  <c r="V8" i="31"/>
  <c r="P23" i="51" s="1"/>
  <c r="W20" i="13"/>
  <c r="W27" i="10"/>
  <c r="W29" i="10" s="1"/>
  <c r="BK2" i="40"/>
  <c r="BK2" i="4"/>
  <c r="BK2" i="37"/>
  <c r="BK2" i="34"/>
  <c r="BK2" i="31"/>
  <c r="BK2" i="28"/>
  <c r="BK2" i="22"/>
  <c r="BK60" i="20"/>
  <c r="BK2" i="21"/>
  <c r="BK2" i="20"/>
  <c r="BK2" i="19"/>
  <c r="BK2" i="18"/>
  <c r="BK2" i="17"/>
  <c r="BK2" i="14"/>
  <c r="BK2" i="15"/>
  <c r="BK2" i="16"/>
  <c r="BK2" i="13"/>
  <c r="BK2" i="12"/>
  <c r="BK2" i="11"/>
  <c r="BK2" i="10"/>
  <c r="BK2" i="8"/>
  <c r="BK2" i="9"/>
  <c r="BK313" i="6"/>
  <c r="BL314" i="6" s="1"/>
  <c r="BK241" i="6"/>
  <c r="BK243" i="6" s="1"/>
  <c r="BK20" i="16" s="1"/>
  <c r="BK319" i="6"/>
  <c r="BK321" i="6" s="1"/>
  <c r="BK282" i="6"/>
  <c r="BK284" i="6" s="1"/>
  <c r="BK276" i="6" s="1"/>
  <c r="BK277" i="6" s="1"/>
  <c r="BK270" i="6" s="1"/>
  <c r="BK2" i="7"/>
  <c r="BK249" i="6"/>
  <c r="BK251" i="6" s="1"/>
  <c r="BK21" i="18" s="1"/>
  <c r="BK233" i="6"/>
  <c r="BK235" i="6" s="1"/>
  <c r="BK21" i="17" s="1"/>
  <c r="BK209" i="6"/>
  <c r="BK182" i="6"/>
  <c r="BK184" i="6" s="1"/>
  <c r="BK189" i="6" s="1"/>
  <c r="BK190" i="6" s="1"/>
  <c r="BK194" i="6" s="1"/>
  <c r="BK147" i="6"/>
  <c r="BK176" i="6"/>
  <c r="BK177" i="6" s="1"/>
  <c r="BK120" i="6"/>
  <c r="BK122" i="6" s="1"/>
  <c r="BK127" i="6" s="1"/>
  <c r="BK128" i="6" s="1"/>
  <c r="BK132" i="6" s="1"/>
  <c r="BK32" i="6"/>
  <c r="BK114" i="6"/>
  <c r="BK115" i="6" s="1"/>
  <c r="BK92" i="6"/>
  <c r="BK2" i="6"/>
  <c r="BK72" i="6"/>
  <c r="BK52" i="6"/>
  <c r="BK61" i="20"/>
  <c r="BK67" i="20" s="1"/>
  <c r="U18" i="31"/>
  <c r="V11" i="18"/>
  <c r="BJ224" i="6"/>
  <c r="BJ203" i="6"/>
  <c r="V17" i="34"/>
  <c r="P56" i="51" s="1"/>
  <c r="V27" i="17"/>
  <c r="AB28" i="17" s="1"/>
  <c r="V12" i="17"/>
  <c r="BL3" i="40"/>
  <c r="BL3" i="4"/>
  <c r="BL3" i="37"/>
  <c r="BL3" i="34"/>
  <c r="BL3" i="31"/>
  <c r="BL3" i="28"/>
  <c r="BL3" i="21"/>
  <c r="BL3" i="22"/>
  <c r="BL3" i="20"/>
  <c r="BL3" i="18"/>
  <c r="BL3" i="19"/>
  <c r="BL3" i="17"/>
  <c r="BL3" i="14"/>
  <c r="BL3" i="16"/>
  <c r="BL3" i="15"/>
  <c r="BL3" i="13"/>
  <c r="BL3" i="12"/>
  <c r="BL3" i="11"/>
  <c r="BL3" i="10"/>
  <c r="BL3" i="8"/>
  <c r="BL3" i="9"/>
  <c r="BL3" i="7"/>
  <c r="BL79" i="6"/>
  <c r="BL39" i="6"/>
  <c r="BL99" i="6"/>
  <c r="BL59" i="6"/>
  <c r="BL3" i="6"/>
  <c r="BL87" i="6"/>
  <c r="BL74" i="6"/>
  <c r="BL81" i="6"/>
  <c r="V15" i="15"/>
  <c r="V14" i="34" s="1"/>
  <c r="P53" i="51" s="1"/>
  <c r="V32" i="15"/>
  <c r="BL47" i="6"/>
  <c r="BL41" i="6"/>
  <c r="BL34" i="6"/>
  <c r="V8" i="28"/>
  <c r="V19" i="16"/>
  <c r="V21" i="16" s="1"/>
  <c r="V26" i="11"/>
  <c r="V27" i="11" s="1"/>
  <c r="O31" i="51" l="1"/>
  <c r="P9" i="49"/>
  <c r="Q12" i="49"/>
  <c r="P4" i="51"/>
  <c r="O33" i="51"/>
  <c r="P10" i="49"/>
  <c r="BK67" i="6"/>
  <c r="BK61" i="6"/>
  <c r="BK54" i="6"/>
  <c r="BM74" i="6"/>
  <c r="BM81" i="6"/>
  <c r="BM87" i="6"/>
  <c r="U17" i="31"/>
  <c r="V11" i="16"/>
  <c r="BK26" i="31"/>
  <c r="BE41" i="51" s="1"/>
  <c r="BL11" i="21"/>
  <c r="BL13" i="21" s="1"/>
  <c r="BK29" i="9"/>
  <c r="V14" i="31"/>
  <c r="P29" i="51" s="1"/>
  <c r="W24" i="11"/>
  <c r="V19" i="34"/>
  <c r="P58" i="51" s="1"/>
  <c r="V26" i="16"/>
  <c r="X27" i="16" s="1"/>
  <c r="V12" i="16"/>
  <c r="V9" i="19"/>
  <c r="V30" i="15"/>
  <c r="BM3" i="4"/>
  <c r="BM3" i="40"/>
  <c r="BM3" i="37"/>
  <c r="BM3" i="34"/>
  <c r="BM3" i="31"/>
  <c r="BM3" i="22"/>
  <c r="BM3" i="28"/>
  <c r="BM3" i="21"/>
  <c r="BM3" i="20"/>
  <c r="BM3" i="19"/>
  <c r="BM3" i="18"/>
  <c r="BM3" i="17"/>
  <c r="BM3" i="14"/>
  <c r="BM3" i="16"/>
  <c r="BM3" i="15"/>
  <c r="BM3" i="13"/>
  <c r="BM3" i="11"/>
  <c r="BM3" i="12"/>
  <c r="BM3" i="10"/>
  <c r="BM3" i="9"/>
  <c r="BM3" i="7"/>
  <c r="BM3" i="8"/>
  <c r="BM79" i="6"/>
  <c r="BM99" i="6"/>
  <c r="BM3" i="6"/>
  <c r="BM39" i="6"/>
  <c r="BM59" i="6"/>
  <c r="BL40" i="12"/>
  <c r="BL32" i="12"/>
  <c r="BL13" i="10"/>
  <c r="BL14" i="10" s="1"/>
  <c r="V27" i="18"/>
  <c r="V28" i="18" s="1"/>
  <c r="V40" i="18"/>
  <c r="V41" i="18" s="1"/>
  <c r="BM9" i="37"/>
  <c r="BM17" i="12"/>
  <c r="BM22" i="10"/>
  <c r="BM42" i="10"/>
  <c r="BN4" i="40"/>
  <c r="BN4" i="4"/>
  <c r="BN4" i="37"/>
  <c r="BN4" i="34"/>
  <c r="BN4" i="31"/>
  <c r="BN4" i="28"/>
  <c r="BN4" i="21"/>
  <c r="BN4" i="22"/>
  <c r="BN10" i="21"/>
  <c r="BN74" i="20"/>
  <c r="BN32" i="20"/>
  <c r="BN28" i="19"/>
  <c r="BN4" i="20"/>
  <c r="BN4" i="19"/>
  <c r="BN4" i="17"/>
  <c r="BN10" i="18"/>
  <c r="BN10" i="16"/>
  <c r="BN10" i="17"/>
  <c r="BN4" i="18"/>
  <c r="BN4" i="16"/>
  <c r="BN27" i="15"/>
  <c r="BN82" i="12"/>
  <c r="BN40" i="15"/>
  <c r="BN4" i="15"/>
  <c r="BN4" i="14"/>
  <c r="BN4" i="13"/>
  <c r="BN28" i="13"/>
  <c r="BN69" i="12"/>
  <c r="BN59" i="12"/>
  <c r="BN19" i="13"/>
  <c r="BN4" i="12"/>
  <c r="BN18" i="12"/>
  <c r="BN46" i="12"/>
  <c r="BN4" i="9"/>
  <c r="BN19" i="10"/>
  <c r="BN35" i="9"/>
  <c r="BN10" i="9"/>
  <c r="BN331" i="6"/>
  <c r="BN332" i="6" s="1"/>
  <c r="BN12" i="10"/>
  <c r="BN4" i="10"/>
  <c r="BN23" i="11"/>
  <c r="BN4" i="11"/>
  <c r="BN336" i="6"/>
  <c r="BN337" i="6" s="1"/>
  <c r="BN4" i="8"/>
  <c r="BN320" i="6"/>
  <c r="BN296" i="6"/>
  <c r="BN297" i="6" s="1"/>
  <c r="BN4" i="7"/>
  <c r="BN346" i="6"/>
  <c r="BN347" i="6" s="1"/>
  <c r="BN259" i="6"/>
  <c r="BN351" i="6"/>
  <c r="BN352" i="6" s="1"/>
  <c r="BN275" i="6"/>
  <c r="BN301" i="6"/>
  <c r="BN302" i="6" s="1"/>
  <c r="BN312" i="6"/>
  <c r="BN93" i="6"/>
  <c r="BN126" i="6"/>
  <c r="BN100" i="6"/>
  <c r="BN106" i="6"/>
  <c r="BN60" i="6"/>
  <c r="BN188" i="6"/>
  <c r="BN80" i="6"/>
  <c r="BN202" i="6"/>
  <c r="BN140" i="6"/>
  <c r="BN86" i="6"/>
  <c r="BN33" i="6"/>
  <c r="BN11" i="6"/>
  <c r="BN12" i="6" s="1"/>
  <c r="BO28" i="6"/>
  <c r="BN66" i="6"/>
  <c r="BN46" i="6"/>
  <c r="BN40" i="6"/>
  <c r="BN23" i="6"/>
  <c r="BN24" i="6" s="1"/>
  <c r="BN4" i="6"/>
  <c r="BN73" i="6"/>
  <c r="BN53" i="6"/>
  <c r="BN35" i="10"/>
  <c r="BK8" i="37"/>
  <c r="BK16" i="12"/>
  <c r="BK34" i="10"/>
  <c r="BK41" i="10"/>
  <c r="BK43" i="10" s="1"/>
  <c r="BK25" i="14" s="1"/>
  <c r="BK26" i="14" s="1"/>
  <c r="BK21" i="10"/>
  <c r="W53" i="12"/>
  <c r="W54" i="12" s="1"/>
  <c r="W11" i="11"/>
  <c r="W12" i="11" s="1"/>
  <c r="W23" i="10"/>
  <c r="W24" i="10" s="1"/>
  <c r="BJ19" i="37"/>
  <c r="BK83" i="12"/>
  <c r="BK85" i="12" s="1"/>
  <c r="BL2" i="40"/>
  <c r="BL2" i="4"/>
  <c r="BL2" i="37"/>
  <c r="BL2" i="34"/>
  <c r="BL2" i="31"/>
  <c r="BL2" i="28"/>
  <c r="BL2" i="21"/>
  <c r="BL2" i="22"/>
  <c r="BL60" i="20"/>
  <c r="BL2" i="20"/>
  <c r="BL2" i="19"/>
  <c r="BL2" i="18"/>
  <c r="BL2" i="17"/>
  <c r="BL2" i="15"/>
  <c r="BL2" i="16"/>
  <c r="BL2" i="14"/>
  <c r="BL2" i="13"/>
  <c r="BL2" i="10"/>
  <c r="BL2" i="12"/>
  <c r="BL2" i="11"/>
  <c r="BL313" i="6"/>
  <c r="BM314" i="6" s="1"/>
  <c r="BL241" i="6"/>
  <c r="BL243" i="6" s="1"/>
  <c r="BL20" i="16" s="1"/>
  <c r="BL319" i="6"/>
  <c r="BL321" i="6" s="1"/>
  <c r="BL282" i="6"/>
  <c r="BL284" i="6" s="1"/>
  <c r="BL276" i="6" s="1"/>
  <c r="BL277" i="6" s="1"/>
  <c r="BL270" i="6" s="1"/>
  <c r="BL2" i="7"/>
  <c r="BL249" i="6"/>
  <c r="BL251" i="6" s="1"/>
  <c r="BL21" i="18" s="1"/>
  <c r="BL2" i="8"/>
  <c r="BL233" i="6"/>
  <c r="BL235" i="6" s="1"/>
  <c r="BL21" i="17" s="1"/>
  <c r="BL2" i="9"/>
  <c r="BL176" i="6"/>
  <c r="BL177" i="6" s="1"/>
  <c r="BL120" i="6"/>
  <c r="BL122" i="6" s="1"/>
  <c r="BL127" i="6" s="1"/>
  <c r="BL128" i="6" s="1"/>
  <c r="BL132" i="6" s="1"/>
  <c r="BL114" i="6"/>
  <c r="BL115" i="6" s="1"/>
  <c r="BL92" i="6"/>
  <c r="BL209" i="6"/>
  <c r="BL182" i="6"/>
  <c r="BL184" i="6" s="1"/>
  <c r="BL189" i="6" s="1"/>
  <c r="BL190" i="6" s="1"/>
  <c r="BL194" i="6" s="1"/>
  <c r="BL147" i="6"/>
  <c r="BL32" i="6"/>
  <c r="BL72" i="6"/>
  <c r="BL52" i="6"/>
  <c r="BL2" i="6"/>
  <c r="AB21" i="34"/>
  <c r="V60" i="51" s="1"/>
  <c r="AB12" i="18"/>
  <c r="BM34" i="6"/>
  <c r="BM47" i="6"/>
  <c r="BM41" i="6"/>
  <c r="W25" i="12"/>
  <c r="BL18" i="37"/>
  <c r="BL23" i="13"/>
  <c r="BL84" i="12"/>
  <c r="BL31" i="13"/>
  <c r="BL62" i="12"/>
  <c r="BM53" i="20"/>
  <c r="BM54" i="20" s="1"/>
  <c r="BM58" i="20" s="1"/>
  <c r="BM59" i="20"/>
  <c r="BM290" i="6"/>
  <c r="BM291" i="6" s="1"/>
  <c r="BM283" i="6"/>
  <c r="BM250" i="6"/>
  <c r="BM234" i="6"/>
  <c r="BM242" i="6"/>
  <c r="BM183" i="6"/>
  <c r="BM121" i="6"/>
  <c r="BM18" i="6"/>
  <c r="BM19" i="6" s="1"/>
  <c r="BM94" i="6"/>
  <c r="BM101" i="6"/>
  <c r="BM107" i="6"/>
  <c r="BM14" i="37"/>
  <c r="BM76" i="12"/>
  <c r="BM77" i="12" s="1"/>
  <c r="BM64" i="12"/>
  <c r="BM72" i="12"/>
  <c r="BJ49" i="15"/>
  <c r="BJ34" i="15"/>
  <c r="BJ12" i="14"/>
  <c r="BJ27" i="14"/>
  <c r="BJ9" i="28" s="1"/>
  <c r="BD5" i="51" s="1"/>
  <c r="BL61" i="20"/>
  <c r="BL67" i="20" s="1"/>
  <c r="BK203" i="6"/>
  <c r="BK224" i="6"/>
  <c r="W11" i="13"/>
  <c r="AB29" i="17"/>
  <c r="AB18" i="34" s="1"/>
  <c r="V57" i="51" s="1"/>
  <c r="AB14" i="17"/>
  <c r="BK141" i="6"/>
  <c r="BK162" i="6"/>
  <c r="V30" i="13"/>
  <c r="V33" i="13" s="1"/>
  <c r="V14" i="13"/>
  <c r="V13" i="28" s="1"/>
  <c r="V40" i="17"/>
  <c r="V41" i="17" s="1"/>
  <c r="O32" i="51" l="1"/>
  <c r="P8" i="49"/>
  <c r="P9" i="51"/>
  <c r="Q20" i="49"/>
  <c r="V42" i="17"/>
  <c r="V16" i="28" s="1"/>
  <c r="V46" i="17"/>
  <c r="V47" i="17" s="1"/>
  <c r="V33" i="17"/>
  <c r="BL203" i="6"/>
  <c r="BL224" i="6"/>
  <c r="W10" i="37"/>
  <c r="R26" i="49" s="1"/>
  <c r="W24" i="12"/>
  <c r="W26" i="12" s="1"/>
  <c r="W31" i="12" s="1"/>
  <c r="W33" i="12" s="1"/>
  <c r="X20" i="10"/>
  <c r="BO4" i="4"/>
  <c r="BO4" i="40"/>
  <c r="BO4" i="37"/>
  <c r="BO4" i="34"/>
  <c r="BO4" i="31"/>
  <c r="BO4" i="28"/>
  <c r="BO4" i="22"/>
  <c r="BO74" i="20"/>
  <c r="BO10" i="21"/>
  <c r="BO4" i="21"/>
  <c r="BO32" i="20"/>
  <c r="BO10" i="18"/>
  <c r="BO4" i="20"/>
  <c r="BO4" i="18"/>
  <c r="BO28" i="19"/>
  <c r="BO4" i="19"/>
  <c r="BO10" i="17"/>
  <c r="BO4" i="15"/>
  <c r="BO4" i="17"/>
  <c r="BO4" i="16"/>
  <c r="BO27" i="15"/>
  <c r="BO10" i="16"/>
  <c r="BO4" i="14"/>
  <c r="BO40" i="15"/>
  <c r="BO28" i="13"/>
  <c r="BO82" i="12"/>
  <c r="BO4" i="13"/>
  <c r="BO59" i="12"/>
  <c r="BO19" i="13"/>
  <c r="BO69" i="12"/>
  <c r="BO18" i="12"/>
  <c r="BO46" i="12"/>
  <c r="BO4" i="12"/>
  <c r="BO19" i="10"/>
  <c r="BO35" i="9"/>
  <c r="BO4" i="8"/>
  <c r="BO12" i="10"/>
  <c r="BO346" i="6"/>
  <c r="BO347" i="6" s="1"/>
  <c r="BO4" i="10"/>
  <c r="BO23" i="11"/>
  <c r="BO4" i="11"/>
  <c r="BO4" i="9"/>
  <c r="BO4" i="7"/>
  <c r="BO351" i="6"/>
  <c r="BO352" i="6" s="1"/>
  <c r="BO296" i="6"/>
  <c r="BO297" i="6" s="1"/>
  <c r="BO259" i="6"/>
  <c r="BO275" i="6"/>
  <c r="BO301" i="6"/>
  <c r="BO302" i="6" s="1"/>
  <c r="BO10" i="9"/>
  <c r="BO331" i="6"/>
  <c r="BO332" i="6" s="1"/>
  <c r="BO336" i="6"/>
  <c r="BO337" i="6" s="1"/>
  <c r="BO312" i="6"/>
  <c r="BO320" i="6"/>
  <c r="BO188" i="6"/>
  <c r="BO126" i="6"/>
  <c r="BO100" i="6"/>
  <c r="BO106" i="6"/>
  <c r="BO66" i="6"/>
  <c r="BO80" i="6"/>
  <c r="BO202" i="6"/>
  <c r="BO140" i="6"/>
  <c r="BO86" i="6"/>
  <c r="BO93" i="6"/>
  <c r="BO40" i="6"/>
  <c r="BP28" i="6"/>
  <c r="BO46" i="6"/>
  <c r="BO23" i="6"/>
  <c r="BO24" i="6" s="1"/>
  <c r="BO60" i="6"/>
  <c r="BO4" i="6"/>
  <c r="BO33" i="6"/>
  <c r="BO11" i="6"/>
  <c r="BO12" i="6" s="1"/>
  <c r="BO73" i="6"/>
  <c r="BO53" i="6"/>
  <c r="BO35" i="10"/>
  <c r="BN101" i="6"/>
  <c r="BN107" i="6"/>
  <c r="BN94" i="6"/>
  <c r="V34" i="13"/>
  <c r="V9" i="31" s="1"/>
  <c r="P24" i="51" s="1"/>
  <c r="W29" i="13"/>
  <c r="W16" i="19"/>
  <c r="W17" i="19" s="1"/>
  <c r="W42" i="15"/>
  <c r="W20" i="15"/>
  <c r="W25" i="11"/>
  <c r="BN53" i="20"/>
  <c r="BN54" i="20" s="1"/>
  <c r="BN58" i="20" s="1"/>
  <c r="BN59" i="20"/>
  <c r="BN283" i="6"/>
  <c r="BN250" i="6"/>
  <c r="BN242" i="6"/>
  <c r="BN290" i="6"/>
  <c r="BN291" i="6" s="1"/>
  <c r="BN183" i="6"/>
  <c r="BN234" i="6"/>
  <c r="BN121" i="6"/>
  <c r="BN18" i="6"/>
  <c r="BN19" i="6" s="1"/>
  <c r="BL8" i="37"/>
  <c r="BL16" i="12"/>
  <c r="BL34" i="10"/>
  <c r="BL41" i="10"/>
  <c r="BL43" i="10" s="1"/>
  <c r="BL25" i="14" s="1"/>
  <c r="BL26" i="14" s="1"/>
  <c r="BL21" i="10"/>
  <c r="BN9" i="37"/>
  <c r="BN17" i="12"/>
  <c r="BN42" i="10"/>
  <c r="BN22" i="10"/>
  <c r="BN74" i="6"/>
  <c r="BN81" i="6"/>
  <c r="BN87" i="6"/>
  <c r="W16" i="37"/>
  <c r="W63" i="12"/>
  <c r="W65" i="12" s="1"/>
  <c r="W71" i="12"/>
  <c r="W73" i="12" s="1"/>
  <c r="BN14" i="37"/>
  <c r="BN64" i="12"/>
  <c r="BN72" i="12"/>
  <c r="BN76" i="12"/>
  <c r="BN77" i="12" s="1"/>
  <c r="V39" i="16"/>
  <c r="V40" i="16" s="1"/>
  <c r="BL54" i="6"/>
  <c r="BL67" i="6"/>
  <c r="BL61" i="6"/>
  <c r="BM40" i="12"/>
  <c r="BM32" i="12"/>
  <c r="BM13" i="10"/>
  <c r="BM14" i="10" s="1"/>
  <c r="BN3" i="40"/>
  <c r="BN3" i="4"/>
  <c r="BN3" i="37"/>
  <c r="BN3" i="34"/>
  <c r="BN3" i="31"/>
  <c r="BN3" i="28"/>
  <c r="BN3" i="22"/>
  <c r="BN3" i="21"/>
  <c r="BN3" i="20"/>
  <c r="BN3" i="19"/>
  <c r="BN3" i="18"/>
  <c r="BN3" i="16"/>
  <c r="BN3" i="17"/>
  <c r="BN3" i="15"/>
  <c r="BN3" i="14"/>
  <c r="BN3" i="13"/>
  <c r="BN3" i="12"/>
  <c r="BN3" i="11"/>
  <c r="BN3" i="10"/>
  <c r="BN3" i="9"/>
  <c r="BN3" i="7"/>
  <c r="BN3" i="8"/>
  <c r="BN99" i="6"/>
  <c r="BN79" i="6"/>
  <c r="BN3" i="6"/>
  <c r="BN39" i="6"/>
  <c r="BN59" i="6"/>
  <c r="X28" i="16"/>
  <c r="X20" i="34" s="1"/>
  <c r="R59" i="51" s="1"/>
  <c r="X14" i="16"/>
  <c r="BK19" i="37"/>
  <c r="BL83" i="12"/>
  <c r="BL85" i="12" s="1"/>
  <c r="BN314" i="6"/>
  <c r="V46" i="18"/>
  <c r="V47" i="18" s="1"/>
  <c r="V42" i="18"/>
  <c r="V18" i="28" s="1"/>
  <c r="V33" i="18"/>
  <c r="BL26" i="31"/>
  <c r="BF41" i="51" s="1"/>
  <c r="BM11" i="21"/>
  <c r="BM13" i="21" s="1"/>
  <c r="BL29" i="9"/>
  <c r="BM2" i="4"/>
  <c r="BM2" i="37"/>
  <c r="BM2" i="40"/>
  <c r="BM2" i="34"/>
  <c r="BM2" i="31"/>
  <c r="BM2" i="22"/>
  <c r="BM2" i="28"/>
  <c r="BM2" i="21"/>
  <c r="BM60" i="20"/>
  <c r="BM2" i="20"/>
  <c r="BM2" i="19"/>
  <c r="BM2" i="18"/>
  <c r="BM2" i="17"/>
  <c r="BM2" i="15"/>
  <c r="BM2" i="16"/>
  <c r="BM2" i="13"/>
  <c r="BM2" i="14"/>
  <c r="BM2" i="12"/>
  <c r="BM2" i="11"/>
  <c r="BM2" i="10"/>
  <c r="BM241" i="6"/>
  <c r="BM243" i="6" s="1"/>
  <c r="BM20" i="16" s="1"/>
  <c r="BM319" i="6"/>
  <c r="BM321" i="6" s="1"/>
  <c r="BM282" i="6"/>
  <c r="BM284" i="6" s="1"/>
  <c r="BM276" i="6" s="1"/>
  <c r="BM277" i="6" s="1"/>
  <c r="BM270" i="6" s="1"/>
  <c r="BM2" i="7"/>
  <c r="BM249" i="6"/>
  <c r="BM251" i="6" s="1"/>
  <c r="BM21" i="18" s="1"/>
  <c r="BM2" i="8"/>
  <c r="BM233" i="6"/>
  <c r="BM235" i="6" s="1"/>
  <c r="BM21" i="17" s="1"/>
  <c r="BM2" i="9"/>
  <c r="BM313" i="6"/>
  <c r="BM176" i="6"/>
  <c r="BM177" i="6" s="1"/>
  <c r="BM120" i="6"/>
  <c r="BM122" i="6" s="1"/>
  <c r="BM127" i="6" s="1"/>
  <c r="BM128" i="6" s="1"/>
  <c r="BM132" i="6" s="1"/>
  <c r="BM114" i="6"/>
  <c r="BM115" i="6" s="1"/>
  <c r="BM92" i="6"/>
  <c r="BM209" i="6"/>
  <c r="BM182" i="6"/>
  <c r="BM184" i="6" s="1"/>
  <c r="BM189" i="6" s="1"/>
  <c r="BM190" i="6" s="1"/>
  <c r="BM194" i="6" s="1"/>
  <c r="BM147" i="6"/>
  <c r="BM72" i="6"/>
  <c r="BM2" i="6"/>
  <c r="BM32" i="6"/>
  <c r="BM52" i="6"/>
  <c r="BM18" i="37"/>
  <c r="BM31" i="13"/>
  <c r="BM84" i="12"/>
  <c r="BM23" i="13"/>
  <c r="BM62" i="12"/>
  <c r="BM61" i="20"/>
  <c r="BM67" i="20" s="1"/>
  <c r="BL141" i="6"/>
  <c r="BL162" i="6"/>
  <c r="BK12" i="14"/>
  <c r="BK27" i="14"/>
  <c r="BK9" i="28" s="1"/>
  <c r="BE5" i="51" s="1"/>
  <c r="BK49" i="15"/>
  <c r="BK34" i="15"/>
  <c r="BN41" i="6"/>
  <c r="BN47" i="6"/>
  <c r="BN34" i="6"/>
  <c r="V29" i="18"/>
  <c r="V22" i="34" s="1"/>
  <c r="P61" i="51" s="1"/>
  <c r="V14" i="18"/>
  <c r="P12" i="51" l="1"/>
  <c r="Q21" i="49"/>
  <c r="Q23" i="49"/>
  <c r="P14" i="51"/>
  <c r="V32" i="16"/>
  <c r="V45" i="16"/>
  <c r="V46" i="16" s="1"/>
  <c r="V41" i="16"/>
  <c r="V17" i="28" s="1"/>
  <c r="W21" i="19"/>
  <c r="W43" i="15"/>
  <c r="W21" i="15"/>
  <c r="W17" i="37"/>
  <c r="R29" i="49" s="1"/>
  <c r="X70" i="12"/>
  <c r="W17" i="11"/>
  <c r="W18" i="11" s="1"/>
  <c r="BO107" i="6"/>
  <c r="BO94" i="6"/>
  <c r="BO101" i="6"/>
  <c r="X28" i="10"/>
  <c r="V34" i="17"/>
  <c r="V35" i="17" s="1"/>
  <c r="V13" i="17" s="1"/>
  <c r="V15" i="17" s="1"/>
  <c r="V48" i="17"/>
  <c r="V23" i="34" s="1"/>
  <c r="P62" i="51" s="1"/>
  <c r="BN18" i="37"/>
  <c r="BN84" i="12"/>
  <c r="BN31" i="13"/>
  <c r="BN23" i="13"/>
  <c r="BN62" i="12"/>
  <c r="W15" i="37"/>
  <c r="R28" i="49" s="1"/>
  <c r="X60" i="12"/>
  <c r="BL27" i="14"/>
  <c r="BL9" i="28" s="1"/>
  <c r="BF5" i="51" s="1"/>
  <c r="BL49" i="15"/>
  <c r="BL34" i="15"/>
  <c r="BL12" i="14"/>
  <c r="BN2" i="4"/>
  <c r="BN2" i="40"/>
  <c r="BN2" i="37"/>
  <c r="BN2" i="34"/>
  <c r="BN2" i="31"/>
  <c r="BN2" i="28"/>
  <c r="BN2" i="22"/>
  <c r="BN2" i="21"/>
  <c r="BN60" i="20"/>
  <c r="BN2" i="20"/>
  <c r="BN2" i="19"/>
  <c r="BN2" i="18"/>
  <c r="BN2" i="17"/>
  <c r="BN2" i="16"/>
  <c r="BN2" i="15"/>
  <c r="BN2" i="14"/>
  <c r="BN2" i="13"/>
  <c r="BN2" i="12"/>
  <c r="BN2" i="10"/>
  <c r="BN2" i="9"/>
  <c r="BN2" i="11"/>
  <c r="BN319" i="6"/>
  <c r="BN321" i="6" s="1"/>
  <c r="BN282" i="6"/>
  <c r="BN284" i="6" s="1"/>
  <c r="BN276" i="6" s="1"/>
  <c r="BN277" i="6" s="1"/>
  <c r="BN270" i="6" s="1"/>
  <c r="BN2" i="7"/>
  <c r="BN249" i="6"/>
  <c r="BN251" i="6" s="1"/>
  <c r="BN21" i="18" s="1"/>
  <c r="BN2" i="8"/>
  <c r="BN233" i="6"/>
  <c r="BN235" i="6" s="1"/>
  <c r="BN21" i="17" s="1"/>
  <c r="BN209" i="6"/>
  <c r="BN313" i="6"/>
  <c r="BO314" i="6" s="1"/>
  <c r="BN241" i="6"/>
  <c r="BN243" i="6" s="1"/>
  <c r="BN20" i="16" s="1"/>
  <c r="BN182" i="6"/>
  <c r="BN184" i="6" s="1"/>
  <c r="BN189" i="6" s="1"/>
  <c r="BN190" i="6" s="1"/>
  <c r="BN194" i="6" s="1"/>
  <c r="BN176" i="6"/>
  <c r="BN177" i="6" s="1"/>
  <c r="BN120" i="6"/>
  <c r="BN122" i="6" s="1"/>
  <c r="BN127" i="6" s="1"/>
  <c r="BN128" i="6" s="1"/>
  <c r="BN132" i="6" s="1"/>
  <c r="BN114" i="6"/>
  <c r="BN115" i="6" s="1"/>
  <c r="BN92" i="6"/>
  <c r="BN52" i="6"/>
  <c r="BN147" i="6"/>
  <c r="BN72" i="6"/>
  <c r="BN32" i="6"/>
  <c r="BN2" i="6"/>
  <c r="BO3" i="40"/>
  <c r="BO3" i="4"/>
  <c r="BO3" i="37"/>
  <c r="BO3" i="34"/>
  <c r="BO3" i="31"/>
  <c r="BO3" i="22"/>
  <c r="BO3" i="28"/>
  <c r="BO3" i="21"/>
  <c r="BO3" i="20"/>
  <c r="BO3" i="19"/>
  <c r="BO3" i="18"/>
  <c r="BO3" i="17"/>
  <c r="BO3" i="14"/>
  <c r="BO3" i="15"/>
  <c r="BO3" i="16"/>
  <c r="BO3" i="13"/>
  <c r="BO3" i="12"/>
  <c r="BO3" i="11"/>
  <c r="BO3" i="10"/>
  <c r="BO3" i="8"/>
  <c r="BO3" i="9"/>
  <c r="BO3" i="7"/>
  <c r="BO99" i="6"/>
  <c r="BO59" i="6"/>
  <c r="BO79" i="6"/>
  <c r="BO3" i="6"/>
  <c r="BO39" i="6"/>
  <c r="BO74" i="6"/>
  <c r="BO81" i="6"/>
  <c r="BO87" i="6"/>
  <c r="W11" i="37"/>
  <c r="W20" i="17"/>
  <c r="W22" i="17" s="1"/>
  <c r="W13" i="15"/>
  <c r="W14" i="15" s="1"/>
  <c r="W21" i="13"/>
  <c r="W24" i="13" s="1"/>
  <c r="W39" i="12"/>
  <c r="AC41" i="12" s="1"/>
  <c r="W48" i="12"/>
  <c r="W50" i="12" s="1"/>
  <c r="W17" i="9"/>
  <c r="W18" i="9" s="1"/>
  <c r="BN61" i="20"/>
  <c r="BN67" i="20" s="1"/>
  <c r="BO9" i="37"/>
  <c r="BO17" i="12"/>
  <c r="BO42" i="10"/>
  <c r="BO22" i="10"/>
  <c r="BL19" i="37"/>
  <c r="BM83" i="12"/>
  <c r="BM85" i="12" s="1"/>
  <c r="BP4" i="4"/>
  <c r="BP4" i="40"/>
  <c r="BP4" i="37"/>
  <c r="BP4" i="34"/>
  <c r="BP4" i="31"/>
  <c r="BP4" i="28"/>
  <c r="BP4" i="22"/>
  <c r="BP74" i="20"/>
  <c r="BP4" i="21"/>
  <c r="BP10" i="21"/>
  <c r="BP32" i="20"/>
  <c r="BP4" i="20"/>
  <c r="BP4" i="18"/>
  <c r="BP28" i="19"/>
  <c r="BP4" i="19"/>
  <c r="BP10" i="18"/>
  <c r="BP10" i="17"/>
  <c r="BP27" i="15"/>
  <c r="BP4" i="17"/>
  <c r="BP40" i="15"/>
  <c r="BP10" i="16"/>
  <c r="BP4" i="14"/>
  <c r="BP4" i="15"/>
  <c r="BP4" i="16"/>
  <c r="BP4" i="13"/>
  <c r="BP28" i="13"/>
  <c r="BP19" i="13"/>
  <c r="BP82" i="12"/>
  <c r="BP46" i="12"/>
  <c r="BP69" i="12"/>
  <c r="BP23" i="11"/>
  <c r="BP18" i="12"/>
  <c r="BP59" i="12"/>
  <c r="BP4" i="12"/>
  <c r="BP12" i="10"/>
  <c r="BP4" i="10"/>
  <c r="BP4" i="11"/>
  <c r="BP19" i="10"/>
  <c r="BP35" i="9"/>
  <c r="BP4" i="8"/>
  <c r="BP320" i="6"/>
  <c r="BP259" i="6"/>
  <c r="BP4" i="9"/>
  <c r="BP4" i="7"/>
  <c r="BP346" i="6"/>
  <c r="BP347" i="6" s="1"/>
  <c r="BP275" i="6"/>
  <c r="BP351" i="6"/>
  <c r="BP352" i="6" s="1"/>
  <c r="BP301" i="6"/>
  <c r="BP302" i="6" s="1"/>
  <c r="BP10" i="9"/>
  <c r="BP331" i="6"/>
  <c r="BP332" i="6" s="1"/>
  <c r="BP336" i="6"/>
  <c r="BP337" i="6" s="1"/>
  <c r="BP202" i="6"/>
  <c r="BP312" i="6"/>
  <c r="BP296" i="6"/>
  <c r="BP297" i="6" s="1"/>
  <c r="BP106" i="6"/>
  <c r="BP188" i="6"/>
  <c r="BP73" i="6"/>
  <c r="BP80" i="6"/>
  <c r="BP140" i="6"/>
  <c r="BP86" i="6"/>
  <c r="BP93" i="6"/>
  <c r="BP126" i="6"/>
  <c r="BP100" i="6"/>
  <c r="BP46" i="6"/>
  <c r="BP66" i="6"/>
  <c r="BP40" i="6"/>
  <c r="BP23" i="6"/>
  <c r="BP24" i="6" s="1"/>
  <c r="BP60" i="6"/>
  <c r="BP4" i="6"/>
  <c r="BP11" i="6"/>
  <c r="BP12" i="6" s="1"/>
  <c r="BP33" i="6"/>
  <c r="BP53" i="6"/>
  <c r="BQ28" i="6"/>
  <c r="BP35" i="10"/>
  <c r="BM162" i="6"/>
  <c r="BM141" i="6"/>
  <c r="BM8" i="37"/>
  <c r="BM16" i="12"/>
  <c r="BM21" i="10"/>
  <c r="BM41" i="10"/>
  <c r="BM43" i="10" s="1"/>
  <c r="BM25" i="14" s="1"/>
  <c r="BM26" i="14" s="1"/>
  <c r="BM34" i="10"/>
  <c r="BO47" i="6"/>
  <c r="BO41" i="6"/>
  <c r="BO34" i="6"/>
  <c r="V48" i="18"/>
  <c r="V25" i="34" s="1"/>
  <c r="P64" i="51" s="1"/>
  <c r="V34" i="18"/>
  <c r="V35" i="18" s="1"/>
  <c r="V13" i="18" s="1"/>
  <c r="V15" i="18" s="1"/>
  <c r="BM26" i="31"/>
  <c r="BG41" i="51" s="1"/>
  <c r="BN11" i="21"/>
  <c r="BN13" i="21" s="1"/>
  <c r="BM29" i="9"/>
  <c r="BN40" i="12"/>
  <c r="BN32" i="12"/>
  <c r="BN13" i="10"/>
  <c r="BN14" i="10" s="1"/>
  <c r="Y22" i="15"/>
  <c r="BO59" i="20"/>
  <c r="BO53" i="20"/>
  <c r="BO54" i="20" s="1"/>
  <c r="BO58" i="20" s="1"/>
  <c r="BO250" i="6"/>
  <c r="BO242" i="6"/>
  <c r="BO290" i="6"/>
  <c r="BO291" i="6" s="1"/>
  <c r="BO283" i="6"/>
  <c r="BO183" i="6"/>
  <c r="BO234" i="6"/>
  <c r="BO121" i="6"/>
  <c r="BO18" i="6"/>
  <c r="BO19" i="6" s="1"/>
  <c r="BO14" i="37"/>
  <c r="BO64" i="12"/>
  <c r="BO72" i="12"/>
  <c r="BO76" i="12"/>
  <c r="BO77" i="12" s="1"/>
  <c r="BM224" i="6"/>
  <c r="BM203" i="6"/>
  <c r="BM61" i="6"/>
  <c r="BM67" i="6"/>
  <c r="BM54" i="6"/>
  <c r="W45" i="15"/>
  <c r="P13" i="51" l="1"/>
  <c r="Q22" i="49"/>
  <c r="V18" i="31"/>
  <c r="W11" i="18"/>
  <c r="BP41" i="6"/>
  <c r="BP34" i="6"/>
  <c r="BP47" i="6"/>
  <c r="BP14" i="37"/>
  <c r="BP72" i="12"/>
  <c r="BP76" i="12"/>
  <c r="BP77" i="12" s="1"/>
  <c r="BP64" i="12"/>
  <c r="BM19" i="37"/>
  <c r="BN83" i="12"/>
  <c r="BN85" i="12" s="1"/>
  <c r="W29" i="15"/>
  <c r="W10" i="12"/>
  <c r="W11" i="12" s="1"/>
  <c r="BN224" i="6"/>
  <c r="BN203" i="6"/>
  <c r="W12" i="37"/>
  <c r="R27" i="49" s="1"/>
  <c r="W12" i="13"/>
  <c r="W13" i="13" s="1"/>
  <c r="X47" i="12"/>
  <c r="BM27" i="14"/>
  <c r="BM9" i="28" s="1"/>
  <c r="BG5" i="51" s="1"/>
  <c r="BM49" i="15"/>
  <c r="BM34" i="15"/>
  <c r="BM12" i="14"/>
  <c r="BP59" i="20"/>
  <c r="BP53" i="20"/>
  <c r="BP54" i="20" s="1"/>
  <c r="BP58" i="20" s="1"/>
  <c r="BP234" i="6"/>
  <c r="BP242" i="6"/>
  <c r="BP183" i="6"/>
  <c r="BP290" i="6"/>
  <c r="BP291" i="6" s="1"/>
  <c r="BP283" i="6"/>
  <c r="BP250" i="6"/>
  <c r="BP121" i="6"/>
  <c r="BP18" i="6"/>
  <c r="BP19" i="6" s="1"/>
  <c r="AC13" i="37"/>
  <c r="AC20" i="18"/>
  <c r="AC22" i="18" s="1"/>
  <c r="AC61" i="12"/>
  <c r="AC49" i="12"/>
  <c r="BN67" i="6"/>
  <c r="BN61" i="6"/>
  <c r="BN54" i="6"/>
  <c r="BP314" i="6"/>
  <c r="W8" i="31"/>
  <c r="Q23" i="51" s="1"/>
  <c r="X20" i="13"/>
  <c r="V16" i="31"/>
  <c r="W11" i="17"/>
  <c r="BP94" i="6"/>
  <c r="BP101" i="6"/>
  <c r="BP107" i="6"/>
  <c r="W10" i="31"/>
  <c r="Q25" i="51" s="1"/>
  <c r="X41" i="15"/>
  <c r="Y8" i="34"/>
  <c r="S47" i="51" s="1"/>
  <c r="Y44" i="15"/>
  <c r="W15" i="15"/>
  <c r="W14" i="34" s="1"/>
  <c r="Q53" i="51" s="1"/>
  <c r="W32" i="15"/>
  <c r="BO2" i="4"/>
  <c r="BO2" i="40"/>
  <c r="BO2" i="37"/>
  <c r="BO2" i="34"/>
  <c r="BO2" i="28"/>
  <c r="BO2" i="31"/>
  <c r="BO2" i="22"/>
  <c r="BO60" i="20"/>
  <c r="BO2" i="21"/>
  <c r="BO2" i="20"/>
  <c r="BO2" i="19"/>
  <c r="BO2" i="18"/>
  <c r="BO2" i="17"/>
  <c r="BO2" i="15"/>
  <c r="BO2" i="16"/>
  <c r="BO2" i="14"/>
  <c r="BO2" i="13"/>
  <c r="BO2" i="12"/>
  <c r="BO2" i="8"/>
  <c r="BO2" i="11"/>
  <c r="BO2" i="10"/>
  <c r="BO2" i="9"/>
  <c r="BO2" i="7"/>
  <c r="BO319" i="6"/>
  <c r="BO321" i="6" s="1"/>
  <c r="BO282" i="6"/>
  <c r="BO284" i="6" s="1"/>
  <c r="BO276" i="6" s="1"/>
  <c r="BO277" i="6" s="1"/>
  <c r="BO270" i="6" s="1"/>
  <c r="BO249" i="6"/>
  <c r="BO251" i="6" s="1"/>
  <c r="BO21" i="18" s="1"/>
  <c r="BO313" i="6"/>
  <c r="BO241" i="6"/>
  <c r="BO243" i="6" s="1"/>
  <c r="BO20" i="16" s="1"/>
  <c r="BO176" i="6"/>
  <c r="BO177" i="6" s="1"/>
  <c r="BO114" i="6"/>
  <c r="BO115" i="6" s="1"/>
  <c r="BO92" i="6"/>
  <c r="BO209" i="6"/>
  <c r="BO233" i="6"/>
  <c r="BO235" i="6" s="1"/>
  <c r="BO21" i="17" s="1"/>
  <c r="BO147" i="6"/>
  <c r="BO182" i="6"/>
  <c r="BO184" i="6" s="1"/>
  <c r="BO189" i="6" s="1"/>
  <c r="BO190" i="6" s="1"/>
  <c r="BO194" i="6" s="1"/>
  <c r="BO120" i="6"/>
  <c r="BO122" i="6" s="1"/>
  <c r="BO127" i="6" s="1"/>
  <c r="BO128" i="6" s="1"/>
  <c r="BO132" i="6" s="1"/>
  <c r="BO32" i="6"/>
  <c r="BO72" i="6"/>
  <c r="BO52" i="6"/>
  <c r="BO2" i="6"/>
  <c r="BO18" i="37"/>
  <c r="BO84" i="12"/>
  <c r="BO31" i="13"/>
  <c r="BO23" i="13"/>
  <c r="BO62" i="12"/>
  <c r="BP74" i="6"/>
  <c r="BP81" i="6"/>
  <c r="BP87" i="6"/>
  <c r="W17" i="34"/>
  <c r="Q56" i="51" s="1"/>
  <c r="W27" i="17"/>
  <c r="AC28" i="17" s="1"/>
  <c r="W12" i="17"/>
  <c r="BO32" i="12"/>
  <c r="BO40" i="12"/>
  <c r="BO13" i="10"/>
  <c r="BO14" i="10" s="1"/>
  <c r="BN8" i="37"/>
  <c r="BN16" i="12"/>
  <c r="BN21" i="10"/>
  <c r="BN34" i="10"/>
  <c r="BN41" i="10"/>
  <c r="BN43" i="10" s="1"/>
  <c r="BN25" i="14" s="1"/>
  <c r="BN26" i="14" s="1"/>
  <c r="BN26" i="31"/>
  <c r="BH41" i="51" s="1"/>
  <c r="BO11" i="21"/>
  <c r="BO13" i="21" s="1"/>
  <c r="BN29" i="9"/>
  <c r="BP3" i="40"/>
  <c r="BP3" i="4"/>
  <c r="BP3" i="37"/>
  <c r="BP3" i="34"/>
  <c r="BP3" i="31"/>
  <c r="BP3" i="28"/>
  <c r="BP3" i="21"/>
  <c r="BP3" i="22"/>
  <c r="BP3" i="20"/>
  <c r="BP3" i="19"/>
  <c r="BP3" i="18"/>
  <c r="BP3" i="17"/>
  <c r="BP3" i="15"/>
  <c r="BP3" i="16"/>
  <c r="BP3" i="14"/>
  <c r="BP3" i="13"/>
  <c r="BP3" i="10"/>
  <c r="BP3" i="12"/>
  <c r="BP3" i="11"/>
  <c r="BP3" i="7"/>
  <c r="BP3" i="8"/>
  <c r="BP3" i="9"/>
  <c r="BP99" i="6"/>
  <c r="BP79" i="6"/>
  <c r="BP39" i="6"/>
  <c r="BP3" i="6"/>
  <c r="BP59" i="6"/>
  <c r="BP9" i="37"/>
  <c r="BP17" i="12"/>
  <c r="BP22" i="10"/>
  <c r="BP42" i="10"/>
  <c r="BN162" i="6"/>
  <c r="BN141" i="6"/>
  <c r="X27" i="10"/>
  <c r="X29" i="10" s="1"/>
  <c r="V47" i="16"/>
  <c r="V24" i="34" s="1"/>
  <c r="P63" i="51" s="1"/>
  <c r="V33" i="16"/>
  <c r="V34" i="16" s="1"/>
  <c r="V13" i="16" s="1"/>
  <c r="V15" i="16" s="1"/>
  <c r="BO61" i="20"/>
  <c r="BO67" i="20" s="1"/>
  <c r="BQ4" i="4"/>
  <c r="BQ4" i="40"/>
  <c r="BQ4" i="37"/>
  <c r="BQ4" i="34"/>
  <c r="BQ4" i="31"/>
  <c r="BQ4" i="22"/>
  <c r="BQ4" i="28"/>
  <c r="BQ74" i="20"/>
  <c r="BQ4" i="21"/>
  <c r="BQ4" i="20"/>
  <c r="BQ10" i="21"/>
  <c r="BQ32" i="20"/>
  <c r="BQ4" i="19"/>
  <c r="BQ28" i="19"/>
  <c r="BQ10" i="18"/>
  <c r="BQ10" i="17"/>
  <c r="BQ4" i="17"/>
  <c r="BQ4" i="18"/>
  <c r="BQ10" i="16"/>
  <c r="BQ27" i="15"/>
  <c r="BQ4" i="14"/>
  <c r="BQ40" i="15"/>
  <c r="BQ4" i="15"/>
  <c r="BQ4" i="16"/>
  <c r="BQ19" i="13"/>
  <c r="BQ4" i="13"/>
  <c r="BQ28" i="13"/>
  <c r="BQ82" i="12"/>
  <c r="BQ46" i="12"/>
  <c r="BQ4" i="11"/>
  <c r="BQ18" i="12"/>
  <c r="BQ59" i="12"/>
  <c r="BQ4" i="12"/>
  <c r="BQ69" i="12"/>
  <c r="BQ23" i="11"/>
  <c r="BQ12" i="10"/>
  <c r="BQ4" i="10"/>
  <c r="BQ336" i="6"/>
  <c r="BQ337" i="6" s="1"/>
  <c r="BQ4" i="9"/>
  <c r="BQ4" i="7"/>
  <c r="BQ19" i="10"/>
  <c r="BQ35" i="9"/>
  <c r="BQ346" i="6"/>
  <c r="BQ347" i="6" s="1"/>
  <c r="BQ275" i="6"/>
  <c r="BQ351" i="6"/>
  <c r="BQ352" i="6" s="1"/>
  <c r="BQ301" i="6"/>
  <c r="BQ302" i="6" s="1"/>
  <c r="BQ10" i="9"/>
  <c r="BQ331" i="6"/>
  <c r="BQ332" i="6" s="1"/>
  <c r="BQ312" i="6"/>
  <c r="BQ320" i="6"/>
  <c r="BQ296" i="6"/>
  <c r="BQ297" i="6" s="1"/>
  <c r="BQ4" i="8"/>
  <c r="BQ259" i="6"/>
  <c r="BQ188" i="6"/>
  <c r="BQ73" i="6"/>
  <c r="BQ80" i="6"/>
  <c r="BQ4" i="6"/>
  <c r="BQ140" i="6"/>
  <c r="BQ86" i="6"/>
  <c r="BQ202" i="6"/>
  <c r="BQ93" i="6"/>
  <c r="BQ126" i="6"/>
  <c r="BQ100" i="6"/>
  <c r="BQ106" i="6"/>
  <c r="BQ53" i="6"/>
  <c r="BQ23" i="6"/>
  <c r="BQ24" i="6" s="1"/>
  <c r="BQ66" i="6"/>
  <c r="BQ46" i="6"/>
  <c r="BQ40" i="6"/>
  <c r="BQ60" i="6"/>
  <c r="BQ33" i="6"/>
  <c r="BQ11" i="6"/>
  <c r="BQ12" i="6" s="1"/>
  <c r="BQ35" i="10"/>
  <c r="W8" i="28"/>
  <c r="W19" i="16"/>
  <c r="W21" i="16" s="1"/>
  <c r="W26" i="11"/>
  <c r="W27" i="11" s="1"/>
  <c r="P31" i="51" l="1"/>
  <c r="Q9" i="49"/>
  <c r="Q4" i="51"/>
  <c r="R12" i="49"/>
  <c r="P33" i="51"/>
  <c r="Q10" i="49"/>
  <c r="J28" i="35"/>
  <c r="J14" i="38"/>
  <c r="K9" i="38"/>
  <c r="J13" i="38"/>
  <c r="K18" i="35"/>
  <c r="L8" i="35"/>
  <c r="L23" i="35"/>
  <c r="L14" i="38"/>
  <c r="J8" i="38"/>
  <c r="L8" i="29"/>
  <c r="J8" i="35"/>
  <c r="M11" i="38"/>
  <c r="J11" i="38"/>
  <c r="M8" i="38"/>
  <c r="K18" i="38"/>
  <c r="J9" i="38"/>
  <c r="K28" i="35"/>
  <c r="L28" i="35"/>
  <c r="K13" i="38"/>
  <c r="K8" i="38"/>
  <c r="L18" i="38"/>
  <c r="J18" i="38"/>
  <c r="N18" i="35"/>
  <c r="L9" i="38"/>
  <c r="M25" i="35"/>
  <c r="N9" i="38"/>
  <c r="M20" i="35"/>
  <c r="K14" i="38"/>
  <c r="J18" i="35"/>
  <c r="J17" i="35"/>
  <c r="J9" i="29"/>
  <c r="O13" i="38"/>
  <c r="K21" i="35"/>
  <c r="J21" i="35"/>
  <c r="K17" i="35"/>
  <c r="J14" i="35"/>
  <c r="P9" i="38"/>
  <c r="K11" i="38"/>
  <c r="N18" i="38"/>
  <c r="J20" i="35"/>
  <c r="N28" i="35"/>
  <c r="N14" i="38"/>
  <c r="M28" i="35"/>
  <c r="M9" i="38"/>
  <c r="N21" i="35"/>
  <c r="N13" i="38"/>
  <c r="N8" i="35"/>
  <c r="N8" i="38"/>
  <c r="M14" i="38"/>
  <c r="O9" i="29"/>
  <c r="K14" i="35"/>
  <c r="O9" i="38"/>
  <c r="P18" i="38"/>
  <c r="Q14" i="38"/>
  <c r="O18" i="35"/>
  <c r="O21" i="35"/>
  <c r="O18" i="38"/>
  <c r="P14" i="38"/>
  <c r="P8" i="38"/>
  <c r="O28" i="35"/>
  <c r="O14" i="38"/>
  <c r="J13" i="29"/>
  <c r="N20" i="35"/>
  <c r="O8" i="38"/>
  <c r="P28" i="35"/>
  <c r="N9" i="29"/>
  <c r="R8" i="38"/>
  <c r="Q9" i="29"/>
  <c r="R28" i="35"/>
  <c r="P9" i="29"/>
  <c r="R18" i="38"/>
  <c r="Q18" i="38"/>
  <c r="Q8" i="38"/>
  <c r="Q9" i="38"/>
  <c r="J16" i="38"/>
  <c r="K9" i="29"/>
  <c r="L9" i="29"/>
  <c r="R9" i="29"/>
  <c r="R9" i="38"/>
  <c r="T18" i="38"/>
  <c r="S18" i="38"/>
  <c r="J18" i="29"/>
  <c r="Q28" i="35"/>
  <c r="S14" i="38"/>
  <c r="S9" i="38"/>
  <c r="J22" i="35"/>
  <c r="J8" i="29"/>
  <c r="S9" i="29"/>
  <c r="J16" i="29"/>
  <c r="R14" i="38"/>
  <c r="J25" i="35"/>
  <c r="J19" i="35"/>
  <c r="J23" i="35"/>
  <c r="J17" i="29"/>
  <c r="U14" i="38"/>
  <c r="T8" i="38"/>
  <c r="J24" i="35"/>
  <c r="U8" i="38"/>
  <c r="T28" i="35"/>
  <c r="S28" i="35"/>
  <c r="U9" i="29"/>
  <c r="T9" i="38"/>
  <c r="T9" i="29"/>
  <c r="U9" i="38"/>
  <c r="U28" i="35"/>
  <c r="U18" i="38"/>
  <c r="W9" i="38"/>
  <c r="S8" i="38"/>
  <c r="T14" i="38"/>
  <c r="W8" i="38"/>
  <c r="V28" i="35"/>
  <c r="W9" i="29"/>
  <c r="V8" i="38"/>
  <c r="V9" i="38"/>
  <c r="V9" i="29"/>
  <c r="V14" i="38"/>
  <c r="V18" i="38"/>
  <c r="X14" i="38"/>
  <c r="W28" i="35"/>
  <c r="X9" i="29"/>
  <c r="X9" i="38"/>
  <c r="X8" i="38"/>
  <c r="Y18" i="38"/>
  <c r="Y9" i="29"/>
  <c r="Y28" i="35"/>
  <c r="Y14" i="38"/>
  <c r="Y8" i="38"/>
  <c r="X18" i="38"/>
  <c r="W18" i="38"/>
  <c r="W14" i="38"/>
  <c r="AA14" i="38"/>
  <c r="Z14" i="38"/>
  <c r="AA9" i="38"/>
  <c r="X28" i="35"/>
  <c r="Z9" i="38"/>
  <c r="Z18" i="38"/>
  <c r="AA9" i="29"/>
  <c r="AA18" i="38"/>
  <c r="Y9" i="38"/>
  <c r="Z28" i="35"/>
  <c r="Z9" i="29"/>
  <c r="AB9" i="38"/>
  <c r="AB18" i="38"/>
  <c r="AA8" i="38"/>
  <c r="AB28" i="35"/>
  <c r="AA28" i="35"/>
  <c r="Z8" i="38"/>
  <c r="AB8" i="38"/>
  <c r="AC28" i="35"/>
  <c r="AB14" i="38"/>
  <c r="AC9" i="38"/>
  <c r="AC14" i="38"/>
  <c r="BQ34" i="6"/>
  <c r="BQ47" i="6"/>
  <c r="BQ41" i="6"/>
  <c r="J10" i="26"/>
  <c r="L26" i="24"/>
  <c r="F41" i="50" s="1"/>
  <c r="J9" i="24"/>
  <c r="D24" i="50" s="1"/>
  <c r="J19" i="26"/>
  <c r="J8" i="24"/>
  <c r="D23" i="50" s="1"/>
  <c r="J26" i="24"/>
  <c r="D41" i="50" s="1"/>
  <c r="J15" i="26"/>
  <c r="J16" i="24"/>
  <c r="D31" i="50" s="1"/>
  <c r="J14" i="24"/>
  <c r="D29" i="50" s="1"/>
  <c r="J17" i="26"/>
  <c r="J12" i="26"/>
  <c r="J10" i="24"/>
  <c r="D25" i="50" s="1"/>
  <c r="K19" i="26"/>
  <c r="J18" i="24"/>
  <c r="D33" i="50" s="1"/>
  <c r="J17" i="24"/>
  <c r="D32" i="50" s="1"/>
  <c r="L19" i="26"/>
  <c r="K26" i="24"/>
  <c r="E41" i="50" s="1"/>
  <c r="M26" i="24"/>
  <c r="G41" i="50" s="1"/>
  <c r="M19" i="26"/>
  <c r="BQ74" i="6"/>
  <c r="BQ81" i="6"/>
  <c r="BQ87" i="6"/>
  <c r="M15" i="38"/>
  <c r="L15" i="38"/>
  <c r="K26" i="32"/>
  <c r="M10" i="32"/>
  <c r="J26" i="32"/>
  <c r="M17" i="32"/>
  <c r="N26" i="32"/>
  <c r="K19" i="38"/>
  <c r="M12" i="38"/>
  <c r="M17" i="38"/>
  <c r="J8" i="32"/>
  <c r="M16" i="32"/>
  <c r="M8" i="32"/>
  <c r="M26" i="32"/>
  <c r="M19" i="38"/>
  <c r="N19" i="38"/>
  <c r="M9" i="32"/>
  <c r="M14" i="32"/>
  <c r="M10" i="38"/>
  <c r="J19" i="38"/>
  <c r="M18" i="32"/>
  <c r="L26" i="32"/>
  <c r="O26" i="32"/>
  <c r="O19" i="38"/>
  <c r="R26" i="32"/>
  <c r="P19" i="38"/>
  <c r="L19" i="38"/>
  <c r="P26" i="32"/>
  <c r="J12" i="38"/>
  <c r="R19" i="38"/>
  <c r="Q26" i="32"/>
  <c r="Q19" i="38"/>
  <c r="S26" i="32"/>
  <c r="K8" i="32"/>
  <c r="K12" i="38"/>
  <c r="T19" i="38"/>
  <c r="W26" i="32"/>
  <c r="S19" i="38"/>
  <c r="J9" i="32"/>
  <c r="J17" i="38"/>
  <c r="T26" i="32"/>
  <c r="J15" i="38"/>
  <c r="J10" i="38"/>
  <c r="W19" i="38"/>
  <c r="V19" i="38"/>
  <c r="J10" i="32"/>
  <c r="U26" i="32"/>
  <c r="J18" i="32"/>
  <c r="J14" i="32"/>
  <c r="K9" i="32"/>
  <c r="U19" i="38"/>
  <c r="V26" i="32"/>
  <c r="Y26" i="32"/>
  <c r="J17" i="32"/>
  <c r="Z26" i="32"/>
  <c r="J16" i="32"/>
  <c r="X19" i="38"/>
  <c r="X26" i="32"/>
  <c r="AA26" i="32"/>
  <c r="Z19" i="38"/>
  <c r="AA19" i="38"/>
  <c r="Y19" i="38"/>
  <c r="AB26" i="32"/>
  <c r="L9" i="32"/>
  <c r="AB19" i="38"/>
  <c r="K17" i="38"/>
  <c r="K15" i="38"/>
  <c r="K10" i="32"/>
  <c r="K14" i="32"/>
  <c r="K18" i="32"/>
  <c r="K16" i="32"/>
  <c r="K17" i="32"/>
  <c r="L17" i="38"/>
  <c r="L10" i="32"/>
  <c r="L14" i="32"/>
  <c r="L18" i="32"/>
  <c r="BO8" i="37"/>
  <c r="BO16" i="12"/>
  <c r="BO41" i="10"/>
  <c r="BO43" i="10" s="1"/>
  <c r="BO25" i="14" s="1"/>
  <c r="BO26" i="14" s="1"/>
  <c r="BO34" i="10"/>
  <c r="BO21" i="10"/>
  <c r="BO75" i="6"/>
  <c r="BO67" i="6"/>
  <c r="BO61" i="6"/>
  <c r="BO54" i="6"/>
  <c r="BP2" i="4"/>
  <c r="BP2" i="40"/>
  <c r="BP2" i="37"/>
  <c r="BP2" i="34"/>
  <c r="BP2" i="31"/>
  <c r="BP2" i="28"/>
  <c r="BP2" i="22"/>
  <c r="BP60" i="20"/>
  <c r="BP61" i="20" s="1"/>
  <c r="BP67" i="20" s="1"/>
  <c r="BP2" i="21"/>
  <c r="BP2" i="19"/>
  <c r="BP2" i="20"/>
  <c r="BP2" i="18"/>
  <c r="BP2" i="17"/>
  <c r="BP2" i="16"/>
  <c r="BP2" i="14"/>
  <c r="BP2" i="15"/>
  <c r="BP2" i="13"/>
  <c r="BP2" i="12"/>
  <c r="BP2" i="11"/>
  <c r="BP2" i="10"/>
  <c r="BP2" i="8"/>
  <c r="BP249" i="6"/>
  <c r="BP251" i="6" s="1"/>
  <c r="BP21" i="18" s="1"/>
  <c r="BP2" i="7"/>
  <c r="BP313" i="6"/>
  <c r="BP2" i="9"/>
  <c r="BP241" i="6"/>
  <c r="BP243" i="6" s="1"/>
  <c r="BP20" i="16" s="1"/>
  <c r="BP319" i="6"/>
  <c r="BP321" i="6" s="1"/>
  <c r="BP282" i="6"/>
  <c r="BP284" i="6" s="1"/>
  <c r="BP276" i="6" s="1"/>
  <c r="BP277" i="6" s="1"/>
  <c r="BP270" i="6" s="1"/>
  <c r="BP209" i="6"/>
  <c r="BP233" i="6"/>
  <c r="BP235" i="6" s="1"/>
  <c r="BP21" i="17" s="1"/>
  <c r="BP147" i="6"/>
  <c r="BP182" i="6"/>
  <c r="BP184" i="6" s="1"/>
  <c r="BP189" i="6" s="1"/>
  <c r="BP190" i="6" s="1"/>
  <c r="BP194" i="6" s="1"/>
  <c r="BP120" i="6"/>
  <c r="BP122" i="6" s="1"/>
  <c r="BP127" i="6" s="1"/>
  <c r="BP128" i="6" s="1"/>
  <c r="BP132" i="6" s="1"/>
  <c r="BP176" i="6"/>
  <c r="BP177" i="6" s="1"/>
  <c r="BP114" i="6"/>
  <c r="BP115" i="6" s="1"/>
  <c r="BP92" i="6"/>
  <c r="BP52" i="6"/>
  <c r="BP2" i="6"/>
  <c r="BP32" i="6"/>
  <c r="BP72" i="6"/>
  <c r="BN19" i="37"/>
  <c r="BO83" i="12"/>
  <c r="BO85" i="12" s="1"/>
  <c r="W40" i="18"/>
  <c r="W41" i="18" s="1"/>
  <c r="W27" i="18"/>
  <c r="W28" i="18" s="1"/>
  <c r="X25" i="12"/>
  <c r="BQ42" i="6"/>
  <c r="BQ95" i="6"/>
  <c r="BQ94" i="6"/>
  <c r="BQ101" i="6"/>
  <c r="BQ107" i="6"/>
  <c r="K17" i="39"/>
  <c r="K14" i="33"/>
  <c r="K8" i="33"/>
  <c r="K12" i="39"/>
  <c r="L19" i="39"/>
  <c r="K19" i="39"/>
  <c r="K9" i="33"/>
  <c r="K16" i="33"/>
  <c r="J26" i="33"/>
  <c r="K15" i="39"/>
  <c r="K10" i="39"/>
  <c r="K26" i="33"/>
  <c r="K17" i="33"/>
  <c r="K10" i="33"/>
  <c r="K18" i="33"/>
  <c r="M26" i="33"/>
  <c r="J19" i="39"/>
  <c r="N26" i="33"/>
  <c r="M19" i="39"/>
  <c r="N19" i="39"/>
  <c r="L26" i="33"/>
  <c r="P26" i="33"/>
  <c r="O19" i="39"/>
  <c r="P19" i="39"/>
  <c r="O26" i="33"/>
  <c r="Q26" i="33"/>
  <c r="Q19" i="39"/>
  <c r="R26" i="33"/>
  <c r="R19" i="39"/>
  <c r="J8" i="33"/>
  <c r="J12" i="39"/>
  <c r="J9" i="33"/>
  <c r="J10" i="39"/>
  <c r="J17" i="39"/>
  <c r="J15" i="39"/>
  <c r="J10" i="33"/>
  <c r="J16" i="33"/>
  <c r="J17" i="33"/>
  <c r="BO26" i="31"/>
  <c r="BI41" i="51" s="1"/>
  <c r="BP11" i="21"/>
  <c r="BP13" i="21" s="1"/>
  <c r="BO29" i="9"/>
  <c r="AC29" i="17"/>
  <c r="AC18" i="34" s="1"/>
  <c r="W57" i="51" s="1"/>
  <c r="AC14" i="17"/>
  <c r="BM75" i="6"/>
  <c r="BP88" i="6"/>
  <c r="X11" i="13"/>
  <c r="AC21" i="34"/>
  <c r="W60" i="51" s="1"/>
  <c r="AC12" i="18"/>
  <c r="BQ48" i="6"/>
  <c r="BO162" i="6"/>
  <c r="BO141" i="6"/>
  <c r="BO108" i="6"/>
  <c r="BP48" i="6"/>
  <c r="BQ88" i="6"/>
  <c r="J9" i="26"/>
  <c r="J28" i="25"/>
  <c r="L8" i="26"/>
  <c r="K9" i="26"/>
  <c r="J14" i="26"/>
  <c r="L9" i="26"/>
  <c r="M8" i="26"/>
  <c r="L18" i="26"/>
  <c r="K14" i="26"/>
  <c r="L9" i="23"/>
  <c r="F5" i="50" s="1"/>
  <c r="K28" i="25"/>
  <c r="K18" i="26"/>
  <c r="K8" i="26"/>
  <c r="L28" i="25"/>
  <c r="K9" i="23"/>
  <c r="E5" i="50" s="1"/>
  <c r="L14" i="26"/>
  <c r="M28" i="25"/>
  <c r="M18" i="26"/>
  <c r="N28" i="25"/>
  <c r="M9" i="23"/>
  <c r="G5" i="50" s="1"/>
  <c r="N14" i="26"/>
  <c r="M9" i="26"/>
  <c r="M14" i="26"/>
  <c r="N9" i="26"/>
  <c r="K14" i="39"/>
  <c r="K13" i="39"/>
  <c r="K19" i="36"/>
  <c r="K8" i="30"/>
  <c r="L28" i="36"/>
  <c r="K28" i="36"/>
  <c r="J9" i="39"/>
  <c r="J28" i="36"/>
  <c r="K9" i="39"/>
  <c r="L9" i="30"/>
  <c r="L18" i="39"/>
  <c r="L18" i="36"/>
  <c r="L9" i="39"/>
  <c r="L8" i="39"/>
  <c r="J11" i="39"/>
  <c r="J14" i="39"/>
  <c r="J18" i="39"/>
  <c r="L14" i="39"/>
  <c r="L21" i="36"/>
  <c r="L13" i="39"/>
  <c r="N8" i="39"/>
  <c r="J17" i="36"/>
  <c r="M9" i="30"/>
  <c r="N28" i="36"/>
  <c r="O18" i="39"/>
  <c r="P18" i="39"/>
  <c r="J21" i="36"/>
  <c r="M9" i="39"/>
  <c r="N9" i="30"/>
  <c r="N18" i="39"/>
  <c r="N14" i="39"/>
  <c r="N9" i="39"/>
  <c r="M18" i="39"/>
  <c r="M28" i="36"/>
  <c r="M14" i="39"/>
  <c r="M8" i="39"/>
  <c r="P14" i="39"/>
  <c r="P9" i="30"/>
  <c r="J14" i="36"/>
  <c r="O9" i="30"/>
  <c r="O9" i="39"/>
  <c r="P28" i="36"/>
  <c r="J9" i="30"/>
  <c r="O8" i="39"/>
  <c r="P8" i="39"/>
  <c r="O14" i="39"/>
  <c r="O28" i="36"/>
  <c r="R18" i="39"/>
  <c r="Q9" i="39"/>
  <c r="S14" i="39"/>
  <c r="Q8" i="39"/>
  <c r="Q18" i="39"/>
  <c r="Q14" i="39"/>
  <c r="P9" i="39"/>
  <c r="Q28" i="36"/>
  <c r="Q9" i="30"/>
  <c r="R14" i="39"/>
  <c r="S9" i="39"/>
  <c r="R28" i="36"/>
  <c r="S28" i="36"/>
  <c r="R8" i="39"/>
  <c r="R9" i="39"/>
  <c r="R9" i="30"/>
  <c r="BN49" i="15"/>
  <c r="BN34" i="15"/>
  <c r="BN27" i="14"/>
  <c r="BN9" i="28" s="1"/>
  <c r="BH5" i="51" s="1"/>
  <c r="BN12" i="14"/>
  <c r="BO203" i="6"/>
  <c r="BO224" i="6"/>
  <c r="BL102" i="6"/>
  <c r="BO102" i="6"/>
  <c r="BP18" i="37"/>
  <c r="BP31" i="13"/>
  <c r="BP23" i="13"/>
  <c r="BP62" i="12"/>
  <c r="BP84" i="12"/>
  <c r="BQ82" i="6"/>
  <c r="BO95" i="6"/>
  <c r="BL95" i="6"/>
  <c r="BM95" i="6"/>
  <c r="BP40" i="12"/>
  <c r="BP32" i="12"/>
  <c r="BP13" i="10"/>
  <c r="BP14" i="10" s="1"/>
  <c r="BN48" i="6"/>
  <c r="W19" i="34"/>
  <c r="Q58" i="51" s="1"/>
  <c r="W26" i="16"/>
  <c r="Y27" i="16" s="1"/>
  <c r="W12" i="16"/>
  <c r="BQ108" i="6"/>
  <c r="V17" i="31"/>
  <c r="W11" i="16"/>
  <c r="BQ3" i="4"/>
  <c r="BQ3" i="40"/>
  <c r="BQ3" i="37"/>
  <c r="BQ3" i="34"/>
  <c r="BQ3" i="31"/>
  <c r="BQ3" i="22"/>
  <c r="BQ3" i="28"/>
  <c r="BQ3" i="21"/>
  <c r="BQ3" i="20"/>
  <c r="BQ3" i="19"/>
  <c r="BQ3" i="18"/>
  <c r="BQ3" i="17"/>
  <c r="BQ3" i="15"/>
  <c r="BQ3" i="16"/>
  <c r="BQ3" i="13"/>
  <c r="BQ3" i="14"/>
  <c r="BQ3" i="12"/>
  <c r="BQ3" i="11"/>
  <c r="BQ3" i="10"/>
  <c r="BQ3" i="7"/>
  <c r="BQ3" i="8"/>
  <c r="BQ3" i="9"/>
  <c r="BQ79" i="6"/>
  <c r="BQ99" i="6"/>
  <c r="BQ3" i="6"/>
  <c r="BQ39" i="6"/>
  <c r="BQ59" i="6"/>
  <c r="H24" i="6"/>
  <c r="W14" i="31"/>
  <c r="Q29" i="51" s="1"/>
  <c r="X24" i="11"/>
  <c r="BQ9" i="37"/>
  <c r="BQ17" i="12"/>
  <c r="BQ42" i="10"/>
  <c r="BQ22" i="10"/>
  <c r="H35" i="10"/>
  <c r="BQ314" i="6"/>
  <c r="W40" i="17"/>
  <c r="W41" i="17" s="1"/>
  <c r="BQ53" i="20"/>
  <c r="BQ54" i="20" s="1"/>
  <c r="BQ58" i="20" s="1"/>
  <c r="BQ59" i="20"/>
  <c r="BQ234" i="6"/>
  <c r="BQ242" i="6"/>
  <c r="BQ290" i="6"/>
  <c r="BQ291" i="6" s="1"/>
  <c r="BQ283" i="6"/>
  <c r="BQ250" i="6"/>
  <c r="BQ183" i="6"/>
  <c r="BQ121" i="6"/>
  <c r="BQ18" i="6"/>
  <c r="BQ19" i="6" s="1"/>
  <c r="W9" i="19"/>
  <c r="W30" i="15"/>
  <c r="BQ35" i="6"/>
  <c r="BQ102" i="6"/>
  <c r="BQ75" i="6"/>
  <c r="BQ14" i="37"/>
  <c r="BQ72" i="12"/>
  <c r="BQ76" i="12"/>
  <c r="BQ77" i="12" s="1"/>
  <c r="N18" i="26" s="1"/>
  <c r="BQ64" i="12"/>
  <c r="H18" i="12"/>
  <c r="X53" i="12"/>
  <c r="X54" i="12" s="1"/>
  <c r="X11" i="11"/>
  <c r="X12" i="11" s="1"/>
  <c r="X23" i="10"/>
  <c r="X24" i="10" s="1"/>
  <c r="BP95" i="6"/>
  <c r="W14" i="13"/>
  <c r="W13" i="28" s="1"/>
  <c r="W30" i="13"/>
  <c r="W33" i="13" s="1"/>
  <c r="BN35" i="6"/>
  <c r="BO35" i="6"/>
  <c r="P32" i="51" l="1"/>
  <c r="Q8" i="49"/>
  <c r="Q9" i="51"/>
  <c r="R20" i="49"/>
  <c r="X10" i="37"/>
  <c r="S26" i="49" s="1"/>
  <c r="X24" i="12"/>
  <c r="X26" i="12" s="1"/>
  <c r="X31" i="12" s="1"/>
  <c r="X33" i="12" s="1"/>
  <c r="Y20" i="10"/>
  <c r="S18" i="39"/>
  <c r="BP26" i="31"/>
  <c r="BJ41" i="51" s="1"/>
  <c r="BQ11" i="21"/>
  <c r="BQ13" i="21" s="1"/>
  <c r="BP29" i="9"/>
  <c r="J95" i="6"/>
  <c r="K95" i="6"/>
  <c r="M95" i="6"/>
  <c r="L95" i="6"/>
  <c r="P95" i="6"/>
  <c r="N95" i="6"/>
  <c r="Q95" i="6"/>
  <c r="O95" i="6"/>
  <c r="R95" i="6"/>
  <c r="T95" i="6"/>
  <c r="U95" i="6"/>
  <c r="W95" i="6"/>
  <c r="V95" i="6"/>
  <c r="X95" i="6"/>
  <c r="Y95" i="6"/>
  <c r="Z95" i="6"/>
  <c r="AA95" i="6"/>
  <c r="AB95" i="6"/>
  <c r="AC95" i="6"/>
  <c r="AD95" i="6"/>
  <c r="AF95" i="6"/>
  <c r="AE95" i="6"/>
  <c r="AH95" i="6"/>
  <c r="AG95" i="6"/>
  <c r="AI95" i="6"/>
  <c r="AJ95" i="6"/>
  <c r="AK95" i="6"/>
  <c r="AL95" i="6"/>
  <c r="AM95" i="6"/>
  <c r="AO95" i="6"/>
  <c r="AN95" i="6"/>
  <c r="AQ95" i="6"/>
  <c r="AP95" i="6"/>
  <c r="AS95" i="6"/>
  <c r="AT95" i="6"/>
  <c r="AR95" i="6"/>
  <c r="AU95" i="6"/>
  <c r="AV95" i="6"/>
  <c r="AW95" i="6"/>
  <c r="AX95" i="6"/>
  <c r="AY95" i="6"/>
  <c r="AZ95" i="6"/>
  <c r="BA95" i="6"/>
  <c r="BC95" i="6"/>
  <c r="BD95" i="6"/>
  <c r="BB95" i="6"/>
  <c r="BE95" i="6"/>
  <c r="BF95" i="6"/>
  <c r="BG95" i="6"/>
  <c r="BI95" i="6"/>
  <c r="BH95" i="6"/>
  <c r="BK95" i="6"/>
  <c r="BJ95" i="6"/>
  <c r="BN95" i="6"/>
  <c r="K88" i="6"/>
  <c r="L88" i="6"/>
  <c r="P88" i="6"/>
  <c r="M88" i="6"/>
  <c r="N88" i="6"/>
  <c r="O88" i="6"/>
  <c r="R88" i="6"/>
  <c r="T88" i="6"/>
  <c r="Q88" i="6"/>
  <c r="S88" i="6"/>
  <c r="U88" i="6"/>
  <c r="W88" i="6"/>
  <c r="V88" i="6"/>
  <c r="Z88" i="6"/>
  <c r="X88" i="6"/>
  <c r="AB88" i="6"/>
  <c r="Y88" i="6"/>
  <c r="AA88" i="6"/>
  <c r="AD88" i="6"/>
  <c r="AC88" i="6"/>
  <c r="AE88" i="6"/>
  <c r="AF88" i="6"/>
  <c r="AG88" i="6"/>
  <c r="AJ88" i="6"/>
  <c r="AI88" i="6"/>
  <c r="AH88" i="6"/>
  <c r="AK88" i="6"/>
  <c r="AN88" i="6"/>
  <c r="AL88" i="6"/>
  <c r="AQ88" i="6"/>
  <c r="AM88" i="6"/>
  <c r="AP88" i="6"/>
  <c r="AO88" i="6"/>
  <c r="AR88" i="6"/>
  <c r="AS88" i="6"/>
  <c r="AT88" i="6"/>
  <c r="AU88" i="6"/>
  <c r="AW88" i="6"/>
  <c r="AV88" i="6"/>
  <c r="AX88" i="6"/>
  <c r="AY88" i="6"/>
  <c r="AZ88" i="6"/>
  <c r="BA88" i="6"/>
  <c r="BC88" i="6"/>
  <c r="BB88" i="6"/>
  <c r="BF88" i="6"/>
  <c r="BD88" i="6"/>
  <c r="BE88" i="6"/>
  <c r="BG88" i="6"/>
  <c r="BH88" i="6"/>
  <c r="BJ88" i="6"/>
  <c r="BI88" i="6"/>
  <c r="BK88" i="6"/>
  <c r="BL88" i="6"/>
  <c r="BM88" i="6"/>
  <c r="BO88" i="6"/>
  <c r="X16" i="19"/>
  <c r="X17" i="19" s="1"/>
  <c r="X20" i="15"/>
  <c r="X42" i="15"/>
  <c r="X25" i="11"/>
  <c r="BP8" i="37"/>
  <c r="BP16" i="12"/>
  <c r="BP41" i="10"/>
  <c r="BP43" i="10" s="1"/>
  <c r="BP25" i="14" s="1"/>
  <c r="BP26" i="14" s="1"/>
  <c r="BP34" i="10"/>
  <c r="BP21" i="10"/>
  <c r="W29" i="18"/>
  <c r="W14" i="18"/>
  <c r="K82" i="6"/>
  <c r="M82" i="6"/>
  <c r="L82" i="6"/>
  <c r="O82" i="6"/>
  <c r="N82" i="6"/>
  <c r="Q82" i="6"/>
  <c r="S82" i="6"/>
  <c r="P82" i="6"/>
  <c r="U82" i="6"/>
  <c r="R82" i="6"/>
  <c r="V82" i="6"/>
  <c r="T82" i="6"/>
  <c r="X82" i="6"/>
  <c r="W82" i="6"/>
  <c r="Z82" i="6"/>
  <c r="Y82" i="6"/>
  <c r="AA82" i="6"/>
  <c r="AB82" i="6"/>
  <c r="AC82" i="6"/>
  <c r="AD82" i="6"/>
  <c r="AG82" i="6"/>
  <c r="AE82" i="6"/>
  <c r="AF82" i="6"/>
  <c r="AH82" i="6"/>
  <c r="AJ82" i="6"/>
  <c r="AI82" i="6"/>
  <c r="AL82" i="6"/>
  <c r="AK82" i="6"/>
  <c r="AM82" i="6"/>
  <c r="AN82" i="6"/>
  <c r="AP82" i="6"/>
  <c r="AO82" i="6"/>
  <c r="AR82" i="6"/>
  <c r="AS82" i="6"/>
  <c r="AQ82" i="6"/>
  <c r="AU82" i="6"/>
  <c r="AT82" i="6"/>
  <c r="AV82" i="6"/>
  <c r="AW82" i="6"/>
  <c r="AZ82" i="6"/>
  <c r="AX82" i="6"/>
  <c r="AY82" i="6"/>
  <c r="BB82" i="6"/>
  <c r="BA82" i="6"/>
  <c r="BD82" i="6"/>
  <c r="BF82" i="6"/>
  <c r="BC82" i="6"/>
  <c r="BE82" i="6"/>
  <c r="BI82" i="6"/>
  <c r="BJ82" i="6"/>
  <c r="BG82" i="6"/>
  <c r="BK82" i="6"/>
  <c r="BH82" i="6"/>
  <c r="BP82" i="6"/>
  <c r="BL82" i="6"/>
  <c r="BM82" i="6"/>
  <c r="BN82" i="6"/>
  <c r="J42" i="6"/>
  <c r="K42" i="6"/>
  <c r="M42" i="6"/>
  <c r="L42" i="6"/>
  <c r="O42" i="6"/>
  <c r="N42" i="6"/>
  <c r="P42" i="6"/>
  <c r="S42" i="6"/>
  <c r="Q42" i="6"/>
  <c r="U42" i="6"/>
  <c r="R42" i="6"/>
  <c r="T42" i="6"/>
  <c r="W42" i="6"/>
  <c r="V42" i="6"/>
  <c r="Y42" i="6"/>
  <c r="X42" i="6"/>
  <c r="AB42" i="6"/>
  <c r="Z42" i="6"/>
  <c r="AA42" i="6"/>
  <c r="AC42" i="6"/>
  <c r="AD42" i="6"/>
  <c r="AE42" i="6"/>
  <c r="AG42" i="6"/>
  <c r="AF42" i="6"/>
  <c r="AH42" i="6"/>
  <c r="AI42" i="6"/>
  <c r="AK42" i="6"/>
  <c r="AJ42" i="6"/>
  <c r="AM42" i="6"/>
  <c r="AL42" i="6"/>
  <c r="AN42" i="6"/>
  <c r="AQ42" i="6"/>
  <c r="AO42" i="6"/>
  <c r="AP42" i="6"/>
  <c r="AR42" i="6"/>
  <c r="AS42" i="6"/>
  <c r="AU42" i="6"/>
  <c r="AT42" i="6"/>
  <c r="AV42" i="6"/>
  <c r="AW42" i="6"/>
  <c r="AX42" i="6"/>
  <c r="AY42" i="6"/>
  <c r="AZ42" i="6"/>
  <c r="BA42" i="6"/>
  <c r="BB42" i="6"/>
  <c r="BD42" i="6"/>
  <c r="BC42" i="6"/>
  <c r="BE42" i="6"/>
  <c r="BF42" i="6"/>
  <c r="BI42" i="6"/>
  <c r="BH42" i="6"/>
  <c r="BG42" i="6"/>
  <c r="BJ42" i="6"/>
  <c r="BL42" i="6"/>
  <c r="BK42" i="6"/>
  <c r="BM42" i="6"/>
  <c r="BO42" i="6"/>
  <c r="BN42" i="6"/>
  <c r="BP42" i="6"/>
  <c r="AC18" i="38"/>
  <c r="N16" i="38"/>
  <c r="BQ2" i="4"/>
  <c r="BQ2" i="40"/>
  <c r="BQ2" i="37"/>
  <c r="BQ2" i="34"/>
  <c r="BQ2" i="31"/>
  <c r="BQ2" i="28"/>
  <c r="BQ60" i="20"/>
  <c r="BQ2" i="20"/>
  <c r="BQ2" i="21"/>
  <c r="BQ2" i="22"/>
  <c r="BQ2" i="19"/>
  <c r="BQ2" i="17"/>
  <c r="BQ2" i="18"/>
  <c r="BQ2" i="16"/>
  <c r="BQ2" i="14"/>
  <c r="BQ2" i="15"/>
  <c r="BQ2" i="13"/>
  <c r="BQ2" i="11"/>
  <c r="BQ2" i="12"/>
  <c r="BQ2" i="10"/>
  <c r="BQ2" i="9"/>
  <c r="BQ319" i="6"/>
  <c r="BQ321" i="6" s="1"/>
  <c r="BQ2" i="7"/>
  <c r="BQ233" i="6"/>
  <c r="BQ235" i="6" s="1"/>
  <c r="BQ2" i="8"/>
  <c r="BQ313" i="6"/>
  <c r="BQ241" i="6"/>
  <c r="BQ243" i="6" s="1"/>
  <c r="BQ182" i="6"/>
  <c r="BQ184" i="6" s="1"/>
  <c r="BQ282" i="6"/>
  <c r="BQ284" i="6" s="1"/>
  <c r="BQ249" i="6"/>
  <c r="BQ251" i="6" s="1"/>
  <c r="BQ209" i="6"/>
  <c r="BQ147" i="6"/>
  <c r="BQ72" i="6"/>
  <c r="J75" i="6" s="1"/>
  <c r="BQ2" i="6"/>
  <c r="BQ120" i="6"/>
  <c r="BQ122" i="6" s="1"/>
  <c r="BQ176" i="6"/>
  <c r="BQ177" i="6" s="1"/>
  <c r="BQ114" i="6"/>
  <c r="BQ115" i="6" s="1"/>
  <c r="BQ92" i="6"/>
  <c r="S95" i="6" s="1"/>
  <c r="BQ32" i="6"/>
  <c r="BQ52" i="6"/>
  <c r="W39" i="16"/>
  <c r="W40" i="16" s="1"/>
  <c r="W42" i="18"/>
  <c r="W46" i="18"/>
  <c r="W47" i="18" s="1"/>
  <c r="W33" i="18"/>
  <c r="K75" i="6"/>
  <c r="L75" i="6"/>
  <c r="M75" i="6"/>
  <c r="O75" i="6"/>
  <c r="N75" i="6"/>
  <c r="Q75" i="6"/>
  <c r="P75" i="6"/>
  <c r="R75" i="6"/>
  <c r="S75" i="6"/>
  <c r="T75" i="6"/>
  <c r="V75" i="6"/>
  <c r="U75" i="6"/>
  <c r="W75" i="6"/>
  <c r="Y75" i="6"/>
  <c r="X75" i="6"/>
  <c r="AB75" i="6"/>
  <c r="Z75" i="6"/>
  <c r="AA75" i="6"/>
  <c r="AC75" i="6"/>
  <c r="AD75" i="6"/>
  <c r="AE75" i="6"/>
  <c r="AF75" i="6"/>
  <c r="AH75" i="6"/>
  <c r="AG75" i="6"/>
  <c r="AJ75" i="6"/>
  <c r="AI75" i="6"/>
  <c r="AK75" i="6"/>
  <c r="AL75" i="6"/>
  <c r="AM75" i="6"/>
  <c r="AO75" i="6"/>
  <c r="AN75" i="6"/>
  <c r="AP75" i="6"/>
  <c r="AQ75" i="6"/>
  <c r="AR75" i="6"/>
  <c r="AS75" i="6"/>
  <c r="AU75" i="6"/>
  <c r="AV75" i="6"/>
  <c r="AT75" i="6"/>
  <c r="AY75" i="6"/>
  <c r="AX75" i="6"/>
  <c r="AW75" i="6"/>
  <c r="AZ75" i="6"/>
  <c r="BA75" i="6"/>
  <c r="BB75" i="6"/>
  <c r="BC75" i="6"/>
  <c r="BD75" i="6"/>
  <c r="BE75" i="6"/>
  <c r="BG75" i="6"/>
  <c r="BF75" i="6"/>
  <c r="BH75" i="6"/>
  <c r="BJ75" i="6"/>
  <c r="BI75" i="6"/>
  <c r="BK75" i="6"/>
  <c r="BL75" i="6"/>
  <c r="BN75" i="6"/>
  <c r="BP75" i="6"/>
  <c r="M48" i="6"/>
  <c r="K48" i="6"/>
  <c r="J48" i="6"/>
  <c r="N48" i="6"/>
  <c r="L48" i="6"/>
  <c r="O48" i="6"/>
  <c r="P48" i="6"/>
  <c r="Q48" i="6"/>
  <c r="R48" i="6"/>
  <c r="S48" i="6"/>
  <c r="T48" i="6"/>
  <c r="U48" i="6"/>
  <c r="V48" i="6"/>
  <c r="W48" i="6"/>
  <c r="Y48" i="6"/>
  <c r="X48" i="6"/>
  <c r="AB48" i="6"/>
  <c r="Z48" i="6"/>
  <c r="AA48" i="6"/>
  <c r="AC48" i="6"/>
  <c r="AD48" i="6"/>
  <c r="AE48" i="6"/>
  <c r="AG48" i="6"/>
  <c r="AF48" i="6"/>
  <c r="AH48" i="6"/>
  <c r="AI48" i="6"/>
  <c r="AJ48" i="6"/>
  <c r="AK48" i="6"/>
  <c r="AM48" i="6"/>
  <c r="AL48" i="6"/>
  <c r="AN48" i="6"/>
  <c r="AP48" i="6"/>
  <c r="AO48" i="6"/>
  <c r="AR48" i="6"/>
  <c r="AQ48" i="6"/>
  <c r="AT48" i="6"/>
  <c r="AS48" i="6"/>
  <c r="AU48" i="6"/>
  <c r="AV48" i="6"/>
  <c r="AW48" i="6"/>
  <c r="AX48" i="6"/>
  <c r="AY48" i="6"/>
  <c r="AZ48" i="6"/>
  <c r="BA48" i="6"/>
  <c r="BB48" i="6"/>
  <c r="BC48" i="6"/>
  <c r="BD48" i="6"/>
  <c r="BE48" i="6"/>
  <c r="BF48" i="6"/>
  <c r="BH48" i="6"/>
  <c r="BI48" i="6"/>
  <c r="BG48" i="6"/>
  <c r="BJ48" i="6"/>
  <c r="BK48" i="6"/>
  <c r="BL48" i="6"/>
  <c r="BM48" i="6"/>
  <c r="BQ61" i="20"/>
  <c r="BO19" i="37"/>
  <c r="BP83" i="12"/>
  <c r="BP85" i="12" s="1"/>
  <c r="BP141" i="6"/>
  <c r="BP162" i="6"/>
  <c r="BP54" i="6"/>
  <c r="BP61" i="6"/>
  <c r="BP67" i="6"/>
  <c r="J35" i="6"/>
  <c r="K35" i="6"/>
  <c r="L35" i="6"/>
  <c r="M35" i="6"/>
  <c r="N35" i="6"/>
  <c r="O35" i="6"/>
  <c r="P35" i="6"/>
  <c r="Q35" i="6"/>
  <c r="T35" i="6"/>
  <c r="S35" i="6"/>
  <c r="U35" i="6"/>
  <c r="R35" i="6"/>
  <c r="V35" i="6"/>
  <c r="W35" i="6"/>
  <c r="X35" i="6"/>
  <c r="Y35" i="6"/>
  <c r="AA35" i="6"/>
  <c r="Z35" i="6"/>
  <c r="AD35" i="6"/>
  <c r="AB35" i="6"/>
  <c r="AC35" i="6"/>
  <c r="AF35" i="6"/>
  <c r="AG35" i="6"/>
  <c r="AE35" i="6"/>
  <c r="AH35" i="6"/>
  <c r="AI35" i="6"/>
  <c r="AJ35" i="6"/>
  <c r="AK35" i="6"/>
  <c r="AL35" i="6"/>
  <c r="AN35" i="6"/>
  <c r="AM35" i="6"/>
  <c r="AO35" i="6"/>
  <c r="AP35" i="6"/>
  <c r="AQ35" i="6"/>
  <c r="AR35" i="6"/>
  <c r="AS35" i="6"/>
  <c r="AT35" i="6"/>
  <c r="AU35" i="6"/>
  <c r="AV35" i="6"/>
  <c r="AX35" i="6"/>
  <c r="AY35" i="6"/>
  <c r="AW35" i="6"/>
  <c r="BA35" i="6"/>
  <c r="AZ35" i="6"/>
  <c r="BE35" i="6"/>
  <c r="BB35" i="6"/>
  <c r="BC35" i="6"/>
  <c r="BD35" i="6"/>
  <c r="BG35" i="6"/>
  <c r="BF35" i="6"/>
  <c r="BH35" i="6"/>
  <c r="BI35" i="6"/>
  <c r="BJ35" i="6"/>
  <c r="BK35" i="6"/>
  <c r="BL35" i="6"/>
  <c r="BM35" i="6"/>
  <c r="BP35" i="6"/>
  <c r="X16" i="37"/>
  <c r="X71" i="12"/>
  <c r="X73" i="12" s="1"/>
  <c r="X63" i="12"/>
  <c r="X65" i="12" s="1"/>
  <c r="W34" i="13"/>
  <c r="W9" i="31" s="1"/>
  <c r="Q24" i="51" s="1"/>
  <c r="X29" i="13"/>
  <c r="H14" i="39"/>
  <c r="H14" i="38"/>
  <c r="H14" i="37"/>
  <c r="H14" i="26"/>
  <c r="H64" i="12"/>
  <c r="H72" i="12"/>
  <c r="H76" i="12"/>
  <c r="H9" i="39"/>
  <c r="H9" i="37"/>
  <c r="H9" i="38"/>
  <c r="H9" i="26"/>
  <c r="H17" i="12"/>
  <c r="H22" i="10"/>
  <c r="H42" i="10"/>
  <c r="BP224" i="6"/>
  <c r="BP203" i="6"/>
  <c r="BO82" i="6"/>
  <c r="BO49" i="15"/>
  <c r="BO34" i="15"/>
  <c r="BO12" i="14"/>
  <c r="BO27" i="14"/>
  <c r="N10" i="38"/>
  <c r="BO48" i="6"/>
  <c r="BQ18" i="37"/>
  <c r="BQ84" i="12"/>
  <c r="BQ31" i="13"/>
  <c r="BQ23" i="13"/>
  <c r="BQ62" i="12"/>
  <c r="J18" i="26"/>
  <c r="K18" i="39"/>
  <c r="M18" i="38"/>
  <c r="H77" i="12"/>
  <c r="W42" i="17"/>
  <c r="W33" i="17"/>
  <c r="W46" i="17"/>
  <c r="W47" i="17" s="1"/>
  <c r="H79" i="6"/>
  <c r="H39" i="6"/>
  <c r="H99" i="6"/>
  <c r="H59" i="6"/>
  <c r="Y14" i="16"/>
  <c r="Y28" i="16"/>
  <c r="K108" i="6"/>
  <c r="J108" i="6"/>
  <c r="L108" i="6"/>
  <c r="M108" i="6"/>
  <c r="N108" i="6"/>
  <c r="O108" i="6"/>
  <c r="R108" i="6"/>
  <c r="P108" i="6"/>
  <c r="S108" i="6"/>
  <c r="Q108" i="6"/>
  <c r="T108" i="6"/>
  <c r="U108" i="6"/>
  <c r="V108" i="6"/>
  <c r="X108" i="6"/>
  <c r="W108" i="6"/>
  <c r="Y108" i="6"/>
  <c r="AB108" i="6"/>
  <c r="Z108" i="6"/>
  <c r="AA108" i="6"/>
  <c r="AC108" i="6"/>
  <c r="AD108" i="6"/>
  <c r="AE108" i="6"/>
  <c r="AF108" i="6"/>
  <c r="AG108" i="6"/>
  <c r="AJ108" i="6"/>
  <c r="AH108" i="6"/>
  <c r="AI108" i="6"/>
  <c r="AM108" i="6"/>
  <c r="AK108" i="6"/>
  <c r="AL108" i="6"/>
  <c r="AO108" i="6"/>
  <c r="AN108" i="6"/>
  <c r="AP108" i="6"/>
  <c r="AQ108" i="6"/>
  <c r="AR108" i="6"/>
  <c r="AS108" i="6"/>
  <c r="AU108" i="6"/>
  <c r="AT108" i="6"/>
  <c r="AV108" i="6"/>
  <c r="AW108" i="6"/>
  <c r="AY108" i="6"/>
  <c r="AZ108" i="6"/>
  <c r="AX108" i="6"/>
  <c r="BA108" i="6"/>
  <c r="BB108" i="6"/>
  <c r="BC108" i="6"/>
  <c r="BE108" i="6"/>
  <c r="BD108" i="6"/>
  <c r="BG108" i="6"/>
  <c r="BF108" i="6"/>
  <c r="BH108" i="6"/>
  <c r="BI108" i="6"/>
  <c r="BL108" i="6"/>
  <c r="BM108" i="6"/>
  <c r="BJ108" i="6"/>
  <c r="BN108" i="6"/>
  <c r="BP108" i="6"/>
  <c r="BK108" i="6"/>
  <c r="AC8" i="38"/>
  <c r="AB9" i="29"/>
  <c r="BQ40" i="12"/>
  <c r="BQ32" i="12"/>
  <c r="BQ13" i="10"/>
  <c r="BQ14" i="10" s="1"/>
  <c r="H291" i="6"/>
  <c r="N8" i="26"/>
  <c r="J102" i="6"/>
  <c r="K102" i="6"/>
  <c r="L102" i="6"/>
  <c r="N102" i="6"/>
  <c r="M102" i="6"/>
  <c r="P102" i="6"/>
  <c r="O102" i="6"/>
  <c r="R102" i="6"/>
  <c r="Q102" i="6"/>
  <c r="T102" i="6"/>
  <c r="S102" i="6"/>
  <c r="U102" i="6"/>
  <c r="V102" i="6"/>
  <c r="X102" i="6"/>
  <c r="W102" i="6"/>
  <c r="Z102" i="6"/>
  <c r="Y102" i="6"/>
  <c r="AA102" i="6"/>
  <c r="AB102" i="6"/>
  <c r="AD102" i="6"/>
  <c r="AC102" i="6"/>
  <c r="AF102" i="6"/>
  <c r="AE102" i="6"/>
  <c r="AG102" i="6"/>
  <c r="AI102" i="6"/>
  <c r="AK102" i="6"/>
  <c r="AH102" i="6"/>
  <c r="AN102" i="6"/>
  <c r="AJ102" i="6"/>
  <c r="AM102" i="6"/>
  <c r="AL102" i="6"/>
  <c r="AO102" i="6"/>
  <c r="AR102" i="6"/>
  <c r="AP102" i="6"/>
  <c r="AT102" i="6"/>
  <c r="AQ102" i="6"/>
  <c r="AS102" i="6"/>
  <c r="AV102" i="6"/>
  <c r="AU102" i="6"/>
  <c r="AY102" i="6"/>
  <c r="AW102" i="6"/>
  <c r="BA102" i="6"/>
  <c r="AZ102" i="6"/>
  <c r="AX102" i="6"/>
  <c r="BC102" i="6"/>
  <c r="BD102" i="6"/>
  <c r="BB102" i="6"/>
  <c r="BF102" i="6"/>
  <c r="BE102" i="6"/>
  <c r="BG102" i="6"/>
  <c r="BH102" i="6"/>
  <c r="BI102" i="6"/>
  <c r="BJ102" i="6"/>
  <c r="BK102" i="6"/>
  <c r="BN102" i="6"/>
  <c r="BM102" i="6"/>
  <c r="BP102" i="6"/>
  <c r="BN88" i="6"/>
  <c r="S2" i="42" l="1"/>
  <c r="S2" i="39"/>
  <c r="S2" i="36"/>
  <c r="S2" i="33"/>
  <c r="S2" i="30"/>
  <c r="S3" i="39"/>
  <c r="S3" i="42"/>
  <c r="S3" i="36"/>
  <c r="S3" i="33"/>
  <c r="S3" i="30"/>
  <c r="L3" i="42"/>
  <c r="L3" i="39"/>
  <c r="L3" i="36"/>
  <c r="L3" i="33"/>
  <c r="L3" i="30"/>
  <c r="R4" i="42"/>
  <c r="R4" i="39"/>
  <c r="R4" i="36"/>
  <c r="R4" i="33"/>
  <c r="R4" i="30"/>
  <c r="Y20" i="34"/>
  <c r="S59" i="51" s="1"/>
  <c r="W16" i="28"/>
  <c r="J2" i="26"/>
  <c r="J2" i="23"/>
  <c r="J2" i="25"/>
  <c r="J2" i="24"/>
  <c r="J4" i="25"/>
  <c r="J4" i="24"/>
  <c r="J4" i="26"/>
  <c r="J4" i="23"/>
  <c r="AC2" i="41"/>
  <c r="AC2" i="38"/>
  <c r="AC2" i="35"/>
  <c r="AC2" i="32"/>
  <c r="AC2" i="29"/>
  <c r="V2" i="41"/>
  <c r="V2" i="38"/>
  <c r="V2" i="35"/>
  <c r="V2" i="32"/>
  <c r="V2" i="29"/>
  <c r="M2" i="41"/>
  <c r="M2" i="38"/>
  <c r="M2" i="35"/>
  <c r="M2" i="32"/>
  <c r="M2" i="29"/>
  <c r="BQ127" i="6"/>
  <c r="BQ128" i="6" s="1"/>
  <c r="H122" i="6"/>
  <c r="H127" i="6" s="1"/>
  <c r="BQ20" i="16"/>
  <c r="H243" i="6"/>
  <c r="H20" i="16" s="1"/>
  <c r="AA3" i="41"/>
  <c r="AA3" i="38"/>
  <c r="AA3" i="35"/>
  <c r="AA3" i="32"/>
  <c r="AA3" i="29"/>
  <c r="U3" i="41"/>
  <c r="U3" i="38"/>
  <c r="U3" i="35"/>
  <c r="U3" i="32"/>
  <c r="U3" i="29"/>
  <c r="K3" i="41"/>
  <c r="K3" i="38"/>
  <c r="K3" i="35"/>
  <c r="K3" i="32"/>
  <c r="K3" i="29"/>
  <c r="H82" i="6"/>
  <c r="BP49" i="15"/>
  <c r="BP34" i="15"/>
  <c r="BP12" i="14"/>
  <c r="BP27" i="14"/>
  <c r="BP9" i="28" s="1"/>
  <c r="BJ5" i="51" s="1"/>
  <c r="Y4" i="41"/>
  <c r="Y4" i="38"/>
  <c r="Y4" i="35"/>
  <c r="Y4" i="32"/>
  <c r="Y4" i="29"/>
  <c r="Q4" i="41"/>
  <c r="Q4" i="38"/>
  <c r="Q4" i="35"/>
  <c r="Q4" i="32"/>
  <c r="Q4" i="29"/>
  <c r="K4" i="41"/>
  <c r="K4" i="38"/>
  <c r="K4" i="35"/>
  <c r="K4" i="32"/>
  <c r="K4" i="29"/>
  <c r="P2" i="42"/>
  <c r="P2" i="39"/>
  <c r="P2" i="36"/>
  <c r="P2" i="33"/>
  <c r="P2" i="30"/>
  <c r="K3" i="42"/>
  <c r="K3" i="39"/>
  <c r="K3" i="36"/>
  <c r="K3" i="33"/>
  <c r="K3" i="30"/>
  <c r="O4" i="42"/>
  <c r="O4" i="39"/>
  <c r="O4" i="36"/>
  <c r="O4" i="33"/>
  <c r="O4" i="30"/>
  <c r="H18" i="37"/>
  <c r="H18" i="39"/>
  <c r="H18" i="38"/>
  <c r="H18" i="26"/>
  <c r="H23" i="13"/>
  <c r="H31" i="13"/>
  <c r="H84" i="12"/>
  <c r="H62" i="12"/>
  <c r="K4" i="23"/>
  <c r="K4" i="26"/>
  <c r="K4" i="25"/>
  <c r="K4" i="24"/>
  <c r="AA2" i="38"/>
  <c r="AA2" i="41"/>
  <c r="AA2" i="35"/>
  <c r="AA2" i="32"/>
  <c r="AA2" i="29"/>
  <c r="T2" i="41"/>
  <c r="T2" i="38"/>
  <c r="T2" i="35"/>
  <c r="T2" i="32"/>
  <c r="T2" i="29"/>
  <c r="L2" i="41"/>
  <c r="L2" i="38"/>
  <c r="L2" i="35"/>
  <c r="L2" i="32"/>
  <c r="L2" i="29"/>
  <c r="W45" i="16"/>
  <c r="W46" i="16" s="1"/>
  <c r="W41" i="16"/>
  <c r="W32" i="16"/>
  <c r="Y3" i="41"/>
  <c r="Y3" i="38"/>
  <c r="Y3" i="35"/>
  <c r="Y3" i="32"/>
  <c r="Y3" i="29"/>
  <c r="P3" i="41"/>
  <c r="P3" i="38"/>
  <c r="P3" i="35"/>
  <c r="P3" i="32"/>
  <c r="P3" i="29"/>
  <c r="AB4" i="41"/>
  <c r="AB4" i="38"/>
  <c r="AB4" i="35"/>
  <c r="AB4" i="32"/>
  <c r="AB4" i="29"/>
  <c r="T4" i="41"/>
  <c r="T4" i="35"/>
  <c r="T4" i="38"/>
  <c r="T4" i="32"/>
  <c r="T4" i="29"/>
  <c r="BO68" i="6"/>
  <c r="L2" i="42"/>
  <c r="L2" i="39"/>
  <c r="L2" i="36"/>
  <c r="L2" i="33"/>
  <c r="L2" i="30"/>
  <c r="N4" i="39"/>
  <c r="N4" i="42"/>
  <c r="N4" i="36"/>
  <c r="N4" i="33"/>
  <c r="N4" i="30"/>
  <c r="BQ67" i="20"/>
  <c r="H61" i="20"/>
  <c r="H67" i="20" s="1"/>
  <c r="M4" i="26"/>
  <c r="M4" i="25"/>
  <c r="M4" i="24"/>
  <c r="M4" i="23"/>
  <c r="Z2" i="41"/>
  <c r="Z2" i="38"/>
  <c r="Z2" i="35"/>
  <c r="Z2" i="32"/>
  <c r="Z2" i="29"/>
  <c r="S2" i="41"/>
  <c r="S2" i="38"/>
  <c r="S2" i="35"/>
  <c r="S2" i="32"/>
  <c r="S2" i="29"/>
  <c r="K2" i="41"/>
  <c r="K2" i="38"/>
  <c r="K2" i="35"/>
  <c r="K2" i="32"/>
  <c r="K2" i="29"/>
  <c r="J2" i="41"/>
  <c r="J2" i="38"/>
  <c r="J2" i="35"/>
  <c r="J2" i="32"/>
  <c r="J2" i="29"/>
  <c r="N3" i="23"/>
  <c r="N3" i="25"/>
  <c r="N3" i="26"/>
  <c r="N3" i="24"/>
  <c r="Z3" i="41"/>
  <c r="Z3" i="38"/>
  <c r="Z3" i="35"/>
  <c r="Z3" i="32"/>
  <c r="Z3" i="29"/>
  <c r="S3" i="41"/>
  <c r="S3" i="38"/>
  <c r="S3" i="35"/>
  <c r="S3" i="32"/>
  <c r="S3" i="29"/>
  <c r="X4" i="41"/>
  <c r="X4" i="38"/>
  <c r="X4" i="35"/>
  <c r="X4" i="32"/>
  <c r="X4" i="29"/>
  <c r="R4" i="41"/>
  <c r="R4" i="38"/>
  <c r="R4" i="35"/>
  <c r="R4" i="32"/>
  <c r="R4" i="29"/>
  <c r="M2" i="39"/>
  <c r="M2" i="42"/>
  <c r="M2" i="36"/>
  <c r="M2" i="33"/>
  <c r="M2" i="30"/>
  <c r="M4" i="42"/>
  <c r="M4" i="39"/>
  <c r="M4" i="36"/>
  <c r="M4" i="33"/>
  <c r="M4" i="30"/>
  <c r="AB2" i="41"/>
  <c r="AB2" i="38"/>
  <c r="AB2" i="35"/>
  <c r="AB2" i="32"/>
  <c r="AB2" i="29"/>
  <c r="R2" i="41"/>
  <c r="R2" i="38"/>
  <c r="R2" i="35"/>
  <c r="R2" i="32"/>
  <c r="R2" i="29"/>
  <c r="BQ21" i="17"/>
  <c r="H235" i="6"/>
  <c r="H21" i="17" s="1"/>
  <c r="W3" i="41"/>
  <c r="W3" i="38"/>
  <c r="W3" i="35"/>
  <c r="W3" i="32"/>
  <c r="W3" i="29"/>
  <c r="Q3" i="41"/>
  <c r="Q3" i="38"/>
  <c r="Q3" i="35"/>
  <c r="Q3" i="32"/>
  <c r="Q3" i="29"/>
  <c r="W22" i="34"/>
  <c r="Q61" i="51" s="1"/>
  <c r="Z4" i="41"/>
  <c r="Z4" i="38"/>
  <c r="Z4" i="35"/>
  <c r="Z4" i="32"/>
  <c r="Z4" i="29"/>
  <c r="O4" i="41"/>
  <c r="O4" i="38"/>
  <c r="O4" i="35"/>
  <c r="O4" i="32"/>
  <c r="O4" i="29"/>
  <c r="R2" i="42"/>
  <c r="R2" i="39"/>
  <c r="R2" i="36"/>
  <c r="R2" i="30"/>
  <c r="R2" i="33"/>
  <c r="K2" i="42"/>
  <c r="K2" i="39"/>
  <c r="K2" i="36"/>
  <c r="K2" i="33"/>
  <c r="K2" i="30"/>
  <c r="Y28" i="10"/>
  <c r="R3" i="42"/>
  <c r="R3" i="39"/>
  <c r="R3" i="36"/>
  <c r="R3" i="33"/>
  <c r="R3" i="30"/>
  <c r="O3" i="39"/>
  <c r="O3" i="42"/>
  <c r="O3" i="36"/>
  <c r="O3" i="33"/>
  <c r="O3" i="30"/>
  <c r="H40" i="12"/>
  <c r="H32" i="12"/>
  <c r="H13" i="10"/>
  <c r="L4" i="42"/>
  <c r="L4" i="39"/>
  <c r="L4" i="36"/>
  <c r="L4" i="33"/>
  <c r="L4" i="30"/>
  <c r="BO9" i="28"/>
  <c r="BI5" i="51" s="1"/>
  <c r="N2" i="23"/>
  <c r="N2" i="24"/>
  <c r="N2" i="26"/>
  <c r="N2" i="25"/>
  <c r="X2" i="41"/>
  <c r="X2" i="38"/>
  <c r="X2" i="35"/>
  <c r="X2" i="32"/>
  <c r="X2" i="29"/>
  <c r="P2" i="41"/>
  <c r="P2" i="38"/>
  <c r="P2" i="35"/>
  <c r="P2" i="32"/>
  <c r="P2" i="29"/>
  <c r="W34" i="18"/>
  <c r="W35" i="18" s="1"/>
  <c r="W13" i="18" s="1"/>
  <c r="W15" i="18" s="1"/>
  <c r="W48" i="18"/>
  <c r="L3" i="26"/>
  <c r="L3" i="23"/>
  <c r="L3" i="25"/>
  <c r="L3" i="24"/>
  <c r="X3" i="41"/>
  <c r="X3" i="38"/>
  <c r="X3" i="35"/>
  <c r="X3" i="32"/>
  <c r="X3" i="29"/>
  <c r="N3" i="41"/>
  <c r="N3" i="38"/>
  <c r="N3" i="35"/>
  <c r="N3" i="32"/>
  <c r="N3" i="29"/>
  <c r="V4" i="41"/>
  <c r="V4" i="38"/>
  <c r="V4" i="35"/>
  <c r="V4" i="32"/>
  <c r="V4" i="29"/>
  <c r="N4" i="41"/>
  <c r="N4" i="38"/>
  <c r="N4" i="35"/>
  <c r="N4" i="32"/>
  <c r="N4" i="29"/>
  <c r="J2" i="42"/>
  <c r="J2" i="39"/>
  <c r="J2" i="36"/>
  <c r="J2" i="33"/>
  <c r="J2" i="30"/>
  <c r="X11" i="37"/>
  <c r="X20" i="17"/>
  <c r="X22" i="17" s="1"/>
  <c r="X13" i="15"/>
  <c r="X14" i="15" s="1"/>
  <c r="X21" i="13"/>
  <c r="X24" i="13" s="1"/>
  <c r="X48" i="12"/>
  <c r="X50" i="12" s="1"/>
  <c r="X39" i="12"/>
  <c r="AD41" i="12" s="1"/>
  <c r="X17" i="9"/>
  <c r="X18" i="9" s="1"/>
  <c r="N11" i="38"/>
  <c r="Q3" i="42"/>
  <c r="Q3" i="39"/>
  <c r="Q3" i="36"/>
  <c r="Q3" i="33"/>
  <c r="Q3" i="30"/>
  <c r="P3" i="42"/>
  <c r="P3" i="39"/>
  <c r="P3" i="36"/>
  <c r="P3" i="33"/>
  <c r="P3" i="30"/>
  <c r="BQ8" i="37"/>
  <c r="BQ16" i="12"/>
  <c r="BQ34" i="10"/>
  <c r="BQ21" i="10"/>
  <c r="BQ41" i="10"/>
  <c r="BQ43" i="10" s="1"/>
  <c r="J8" i="39"/>
  <c r="J8" i="26"/>
  <c r="H14" i="10"/>
  <c r="L8" i="38"/>
  <c r="K8" i="39"/>
  <c r="Q4" i="39"/>
  <c r="Q4" i="42"/>
  <c r="Q4" i="36"/>
  <c r="Q4" i="33"/>
  <c r="Q4" i="30"/>
  <c r="J4" i="42"/>
  <c r="J4" i="39"/>
  <c r="J4" i="36"/>
  <c r="J4" i="33"/>
  <c r="J4" i="30"/>
  <c r="X15" i="37"/>
  <c r="S28" i="49" s="1"/>
  <c r="Y60" i="12"/>
  <c r="N15" i="38"/>
  <c r="M2" i="25"/>
  <c r="M2" i="24"/>
  <c r="M2" i="23"/>
  <c r="M2" i="26"/>
  <c r="Y2" i="41"/>
  <c r="Y2" i="38"/>
  <c r="Y2" i="35"/>
  <c r="Y2" i="32"/>
  <c r="Y2" i="29"/>
  <c r="Q2" i="41"/>
  <c r="Q2" i="38"/>
  <c r="Q2" i="35"/>
  <c r="Q2" i="32"/>
  <c r="Q2" i="29"/>
  <c r="W18" i="28"/>
  <c r="BQ21" i="18"/>
  <c r="H251" i="6"/>
  <c r="H21" i="18" s="1"/>
  <c r="BQ61" i="6"/>
  <c r="BQ62" i="6" s="1"/>
  <c r="BQ54" i="6"/>
  <c r="BQ55" i="6" s="1"/>
  <c r="BQ67" i="6"/>
  <c r="BQ68" i="6" s="1"/>
  <c r="M3" i="26"/>
  <c r="M3" i="23"/>
  <c r="M3" i="24"/>
  <c r="M3" i="25"/>
  <c r="T3" i="41"/>
  <c r="T3" i="38"/>
  <c r="T3" i="35"/>
  <c r="T3" i="32"/>
  <c r="T3" i="29"/>
  <c r="O3" i="41"/>
  <c r="O3" i="38"/>
  <c r="O3" i="35"/>
  <c r="O3" i="32"/>
  <c r="O3" i="29"/>
  <c r="AC4" i="41"/>
  <c r="AC4" i="38"/>
  <c r="AC4" i="35"/>
  <c r="AC4" i="32"/>
  <c r="AC4" i="29"/>
  <c r="W4" i="38"/>
  <c r="W4" i="41"/>
  <c r="W4" i="35"/>
  <c r="W4" i="32"/>
  <c r="W4" i="29"/>
  <c r="M4" i="41"/>
  <c r="M4" i="38"/>
  <c r="M4" i="35"/>
  <c r="M4" i="32"/>
  <c r="M4" i="29"/>
  <c r="O2" i="42"/>
  <c r="O2" i="39"/>
  <c r="O2" i="36"/>
  <c r="O2" i="33"/>
  <c r="O2" i="30"/>
  <c r="M3" i="42"/>
  <c r="M3" i="39"/>
  <c r="M3" i="36"/>
  <c r="M3" i="33"/>
  <c r="M3" i="30"/>
  <c r="S4" i="39"/>
  <c r="S4" i="42"/>
  <c r="S4" i="36"/>
  <c r="S4" i="33"/>
  <c r="S4" i="30"/>
  <c r="K4" i="42"/>
  <c r="K4" i="39"/>
  <c r="K4" i="36"/>
  <c r="K4" i="33"/>
  <c r="K4" i="30"/>
  <c r="W34" i="17"/>
  <c r="W35" i="17" s="1"/>
  <c r="W13" i="17" s="1"/>
  <c r="W15" i="17" s="1"/>
  <c r="W48" i="17"/>
  <c r="X17" i="37"/>
  <c r="S29" i="49" s="1"/>
  <c r="Y70" i="12"/>
  <c r="X17" i="11"/>
  <c r="X18" i="11" s="1"/>
  <c r="N17" i="38"/>
  <c r="L2" i="25"/>
  <c r="L2" i="24"/>
  <c r="L2" i="26"/>
  <c r="L2" i="23"/>
  <c r="BP19" i="37"/>
  <c r="BQ83" i="12"/>
  <c r="BQ85" i="12" s="1"/>
  <c r="L4" i="23"/>
  <c r="L4" i="26"/>
  <c r="L4" i="25"/>
  <c r="L4" i="24"/>
  <c r="W2" i="41"/>
  <c r="W2" i="38"/>
  <c r="W2" i="35"/>
  <c r="W2" i="32"/>
  <c r="W2" i="29"/>
  <c r="N2" i="41"/>
  <c r="N2" i="38"/>
  <c r="N2" i="35"/>
  <c r="N2" i="32"/>
  <c r="N2" i="29"/>
  <c r="S8" i="39"/>
  <c r="BQ141" i="6"/>
  <c r="BQ162" i="6"/>
  <c r="H115" i="6"/>
  <c r="BQ276" i="6"/>
  <c r="BQ277" i="6" s="1"/>
  <c r="H284" i="6"/>
  <c r="H276" i="6" s="1"/>
  <c r="K3" i="25"/>
  <c r="K3" i="24"/>
  <c r="K3" i="23"/>
  <c r="K3" i="26"/>
  <c r="AC3" i="41"/>
  <c r="AC3" i="38"/>
  <c r="AC3" i="35"/>
  <c r="AC3" i="32"/>
  <c r="AC3" i="29"/>
  <c r="V3" i="41"/>
  <c r="V3" i="38"/>
  <c r="V3" i="35"/>
  <c r="V3" i="32"/>
  <c r="V3" i="29"/>
  <c r="L3" i="41"/>
  <c r="L3" i="38"/>
  <c r="L3" i="35"/>
  <c r="L3" i="32"/>
  <c r="L3" i="29"/>
  <c r="U4" i="41"/>
  <c r="U4" i="38"/>
  <c r="U4" i="35"/>
  <c r="U4" i="32"/>
  <c r="U4" i="29"/>
  <c r="P4" i="41"/>
  <c r="P4" i="38"/>
  <c r="P4" i="35"/>
  <c r="P4" i="32"/>
  <c r="P4" i="29"/>
  <c r="Q2" i="39"/>
  <c r="Q2" i="42"/>
  <c r="Q2" i="36"/>
  <c r="Q2" i="33"/>
  <c r="Q2" i="30"/>
  <c r="BQ26" i="31"/>
  <c r="BK41" i="51" s="1"/>
  <c r="BQ29" i="9"/>
  <c r="AC26" i="32"/>
  <c r="N26" i="24"/>
  <c r="H41" i="50" s="1"/>
  <c r="S26" i="33"/>
  <c r="J3" i="42"/>
  <c r="J3" i="39"/>
  <c r="J3" i="36"/>
  <c r="J3" i="33"/>
  <c r="J3" i="30"/>
  <c r="H102" i="6"/>
  <c r="N3" i="42"/>
  <c r="N3" i="39"/>
  <c r="N3" i="36"/>
  <c r="N3" i="33"/>
  <c r="N3" i="30"/>
  <c r="P4" i="42"/>
  <c r="P4" i="39"/>
  <c r="P4" i="36"/>
  <c r="P4" i="33"/>
  <c r="P4" i="30"/>
  <c r="K2" i="26"/>
  <c r="K2" i="23"/>
  <c r="K2" i="25"/>
  <c r="K2" i="24"/>
  <c r="N4" i="25"/>
  <c r="N4" i="24"/>
  <c r="N4" i="26"/>
  <c r="N4" i="23"/>
  <c r="U2" i="41"/>
  <c r="U2" i="38"/>
  <c r="U2" i="35"/>
  <c r="U2" i="32"/>
  <c r="U2" i="29"/>
  <c r="O2" i="41"/>
  <c r="O2" i="38"/>
  <c r="O2" i="35"/>
  <c r="O2" i="32"/>
  <c r="O2" i="29"/>
  <c r="BQ224" i="6"/>
  <c r="BQ203" i="6"/>
  <c r="H177" i="6"/>
  <c r="BQ189" i="6"/>
  <c r="BQ190" i="6" s="1"/>
  <c r="H184" i="6"/>
  <c r="H189" i="6" s="1"/>
  <c r="J3" i="26"/>
  <c r="J3" i="24"/>
  <c r="J3" i="25"/>
  <c r="J3" i="23"/>
  <c r="H42" i="6"/>
  <c r="AB3" i="41"/>
  <c r="AB3" i="38"/>
  <c r="AB3" i="35"/>
  <c r="AB3" i="32"/>
  <c r="AB3" i="29"/>
  <c r="R3" i="41"/>
  <c r="R3" i="38"/>
  <c r="R3" i="35"/>
  <c r="R3" i="32"/>
  <c r="R3" i="29"/>
  <c r="M3" i="41"/>
  <c r="M3" i="38"/>
  <c r="M3" i="35"/>
  <c r="M3" i="32"/>
  <c r="M3" i="29"/>
  <c r="X21" i="19"/>
  <c r="X43" i="15"/>
  <c r="X45" i="15" s="1"/>
  <c r="X21" i="15"/>
  <c r="Z22" i="15" s="1"/>
  <c r="AA4" i="41"/>
  <c r="AA4" i="38"/>
  <c r="AA4" i="35"/>
  <c r="AA4" i="32"/>
  <c r="AA4" i="29"/>
  <c r="S4" i="41"/>
  <c r="S4" i="38"/>
  <c r="S4" i="35"/>
  <c r="S4" i="32"/>
  <c r="S4" i="29"/>
  <c r="L4" i="41"/>
  <c r="L4" i="38"/>
  <c r="L4" i="35"/>
  <c r="L4" i="32"/>
  <c r="L4" i="29"/>
  <c r="N2" i="42"/>
  <c r="N2" i="39"/>
  <c r="N2" i="36"/>
  <c r="N2" i="33"/>
  <c r="N2" i="30"/>
  <c r="Q12" i="51" l="1"/>
  <c r="R21" i="49"/>
  <c r="Q14" i="51"/>
  <c r="R23" i="49"/>
  <c r="Z8" i="34"/>
  <c r="T47" i="51" s="1"/>
  <c r="Z44" i="15"/>
  <c r="W18" i="31"/>
  <c r="X11" i="18"/>
  <c r="X10" i="31"/>
  <c r="R25" i="51" s="1"/>
  <c r="Y41" i="15"/>
  <c r="N10" i="32"/>
  <c r="AD13" i="37"/>
  <c r="AD20" i="18"/>
  <c r="AD22" i="18" s="1"/>
  <c r="AD61" i="12"/>
  <c r="AD49" i="12"/>
  <c r="P13" i="38"/>
  <c r="BQ132" i="6"/>
  <c r="F133" i="6" s="1"/>
  <c r="F137" i="6" s="1"/>
  <c r="H128" i="6"/>
  <c r="H132" i="6" s="1"/>
  <c r="BQ194" i="6"/>
  <c r="F195" i="6" s="1"/>
  <c r="F199" i="6" s="1"/>
  <c r="H190" i="6"/>
  <c r="H194" i="6" s="1"/>
  <c r="X12" i="37"/>
  <c r="S27" i="49" s="1"/>
  <c r="X12" i="13"/>
  <c r="X13" i="13" s="1"/>
  <c r="Y47" i="12"/>
  <c r="N12" i="38"/>
  <c r="X29" i="15"/>
  <c r="X10" i="12"/>
  <c r="X11" i="12" s="1"/>
  <c r="H203" i="6"/>
  <c r="H224" i="6"/>
  <c r="BQ270" i="6"/>
  <c r="F271" i="6" s="1"/>
  <c r="H277" i="6"/>
  <c r="H270" i="6" s="1"/>
  <c r="H8" i="39"/>
  <c r="H8" i="38"/>
  <c r="H8" i="37"/>
  <c r="H8" i="26"/>
  <c r="H16" i="12"/>
  <c r="H34" i="10"/>
  <c r="H41" i="10"/>
  <c r="H21" i="10"/>
  <c r="X8" i="31"/>
  <c r="R23" i="51" s="1"/>
  <c r="Y20" i="13"/>
  <c r="N8" i="32"/>
  <c r="W23" i="34"/>
  <c r="Q62" i="51" s="1"/>
  <c r="X32" i="15"/>
  <c r="X15" i="15"/>
  <c r="X8" i="28"/>
  <c r="X19" i="16"/>
  <c r="X21" i="16" s="1"/>
  <c r="X26" i="11"/>
  <c r="X27" i="11" s="1"/>
  <c r="N8" i="29"/>
  <c r="J68" i="6"/>
  <c r="J4" i="27" s="1"/>
  <c r="M68" i="6"/>
  <c r="M4" i="27" s="1"/>
  <c r="L68" i="6"/>
  <c r="L4" i="27" s="1"/>
  <c r="O68" i="6"/>
  <c r="K68" i="6"/>
  <c r="K4" i="27" s="1"/>
  <c r="Q68" i="6"/>
  <c r="N68" i="6"/>
  <c r="N4" i="27" s="1"/>
  <c r="P68" i="6"/>
  <c r="S68" i="6"/>
  <c r="U68" i="6"/>
  <c r="R68" i="6"/>
  <c r="T68" i="6"/>
  <c r="X68" i="6"/>
  <c r="V68" i="6"/>
  <c r="Y68" i="6"/>
  <c r="W68" i="6"/>
  <c r="Z68" i="6"/>
  <c r="AA68" i="6"/>
  <c r="AB68" i="6"/>
  <c r="AD68" i="6"/>
  <c r="AC68" i="6"/>
  <c r="AF68" i="6"/>
  <c r="AE68" i="6"/>
  <c r="AG68" i="6"/>
  <c r="AH68" i="6"/>
  <c r="AI68" i="6"/>
  <c r="AJ68" i="6"/>
  <c r="AL68" i="6"/>
  <c r="AM68" i="6"/>
  <c r="AK68" i="6"/>
  <c r="AO68" i="6"/>
  <c r="AN68" i="6"/>
  <c r="AR68" i="6"/>
  <c r="AQ68" i="6"/>
  <c r="AP68" i="6"/>
  <c r="AU68" i="6"/>
  <c r="AS68" i="6"/>
  <c r="AT68" i="6"/>
  <c r="AX68" i="6"/>
  <c r="AW68" i="6"/>
  <c r="AV68" i="6"/>
  <c r="AY68" i="6"/>
  <c r="AZ68" i="6"/>
  <c r="BB68" i="6"/>
  <c r="BA68" i="6"/>
  <c r="BC68" i="6"/>
  <c r="BF68" i="6"/>
  <c r="BE68" i="6"/>
  <c r="BD68" i="6"/>
  <c r="BG68" i="6"/>
  <c r="BH68" i="6"/>
  <c r="BK68" i="6"/>
  <c r="BI68" i="6"/>
  <c r="BJ68" i="6"/>
  <c r="BL68" i="6"/>
  <c r="BN68" i="6"/>
  <c r="BM68" i="6"/>
  <c r="Y27" i="10"/>
  <c r="Y29" i="10" s="1"/>
  <c r="X17" i="34"/>
  <c r="R56" i="51" s="1"/>
  <c r="X27" i="17"/>
  <c r="AD28" i="17" s="1"/>
  <c r="X12" i="17"/>
  <c r="N17" i="35"/>
  <c r="W25" i="34"/>
  <c r="Q64" i="51" s="1"/>
  <c r="H141" i="6"/>
  <c r="H162" i="6"/>
  <c r="BQ19" i="37"/>
  <c r="N19" i="26"/>
  <c r="S19" i="39"/>
  <c r="AC19" i="38"/>
  <c r="W17" i="28"/>
  <c r="W16" i="31"/>
  <c r="X11" i="17"/>
  <c r="L55" i="6"/>
  <c r="L2" i="27" s="1"/>
  <c r="K55" i="6"/>
  <c r="K2" i="27" s="1"/>
  <c r="J55" i="6"/>
  <c r="J2" i="27" s="1"/>
  <c r="M55" i="6"/>
  <c r="M2" i="27" s="1"/>
  <c r="N55" i="6"/>
  <c r="N2" i="27" s="1"/>
  <c r="Q55" i="6"/>
  <c r="O55" i="6"/>
  <c r="R55" i="6"/>
  <c r="P55" i="6"/>
  <c r="S55" i="6"/>
  <c r="U55" i="6"/>
  <c r="T55" i="6"/>
  <c r="W55" i="6"/>
  <c r="V55" i="6"/>
  <c r="X55" i="6"/>
  <c r="Y55" i="6"/>
  <c r="Z55" i="6"/>
  <c r="AD55" i="6"/>
  <c r="AA55" i="6"/>
  <c r="AB55" i="6"/>
  <c r="AF55" i="6"/>
  <c r="AC55" i="6"/>
  <c r="AE55" i="6"/>
  <c r="AH55" i="6"/>
  <c r="AG55" i="6"/>
  <c r="AI55" i="6"/>
  <c r="AK55" i="6"/>
  <c r="AM55" i="6"/>
  <c r="AJ55" i="6"/>
  <c r="AL55" i="6"/>
  <c r="AN55" i="6"/>
  <c r="AO55" i="6"/>
  <c r="AR55" i="6"/>
  <c r="AQ55" i="6"/>
  <c r="AP55" i="6"/>
  <c r="AT55" i="6"/>
  <c r="AS55" i="6"/>
  <c r="AU55" i="6"/>
  <c r="AV55" i="6"/>
  <c r="AW55" i="6"/>
  <c r="AX55" i="6"/>
  <c r="AY55" i="6"/>
  <c r="BA55" i="6"/>
  <c r="BC55" i="6"/>
  <c r="AZ55" i="6"/>
  <c r="BD55" i="6"/>
  <c r="BB55" i="6"/>
  <c r="BE55" i="6"/>
  <c r="BF55" i="6"/>
  <c r="BG55" i="6"/>
  <c r="BH55" i="6"/>
  <c r="BI55" i="6"/>
  <c r="BJ55" i="6"/>
  <c r="BM55" i="6"/>
  <c r="BL55" i="6"/>
  <c r="BK55" i="6"/>
  <c r="BN55" i="6"/>
  <c r="BP55" i="6"/>
  <c r="BO55" i="6"/>
  <c r="BQ25" i="14"/>
  <c r="BQ26" i="14" s="1"/>
  <c r="H43" i="10"/>
  <c r="H25" i="14" s="1"/>
  <c r="N62" i="6"/>
  <c r="N3" i="27" s="1"/>
  <c r="K62" i="6"/>
  <c r="K3" i="27" s="1"/>
  <c r="L62" i="6"/>
  <c r="L3" i="27" s="1"/>
  <c r="O62" i="6"/>
  <c r="M62" i="6"/>
  <c r="M3" i="27" s="1"/>
  <c r="J62" i="6"/>
  <c r="P62" i="6"/>
  <c r="Q62" i="6"/>
  <c r="R62" i="6"/>
  <c r="T62" i="6"/>
  <c r="V62" i="6"/>
  <c r="U62" i="6"/>
  <c r="S62" i="6"/>
  <c r="W62" i="6"/>
  <c r="X62" i="6"/>
  <c r="Z62" i="6"/>
  <c r="Y62" i="6"/>
  <c r="AA62" i="6"/>
  <c r="AB62" i="6"/>
  <c r="AE62" i="6"/>
  <c r="AC62" i="6"/>
  <c r="AD62" i="6"/>
  <c r="AH62" i="6"/>
  <c r="AG62" i="6"/>
  <c r="AF62" i="6"/>
  <c r="AJ62" i="6"/>
  <c r="AI62" i="6"/>
  <c r="AK62" i="6"/>
  <c r="AL62" i="6"/>
  <c r="AM62" i="6"/>
  <c r="AO62" i="6"/>
  <c r="AN62" i="6"/>
  <c r="AP62" i="6"/>
  <c r="AR62" i="6"/>
  <c r="AQ62" i="6"/>
  <c r="AT62" i="6"/>
  <c r="AS62" i="6"/>
  <c r="AU62" i="6"/>
  <c r="AV62" i="6"/>
  <c r="AX62" i="6"/>
  <c r="AW62" i="6"/>
  <c r="BB62" i="6"/>
  <c r="AY62" i="6"/>
  <c r="AZ62" i="6"/>
  <c r="BA62" i="6"/>
  <c r="BC62" i="6"/>
  <c r="BD62" i="6"/>
  <c r="BE62" i="6"/>
  <c r="BH62" i="6"/>
  <c r="BF62" i="6"/>
  <c r="BG62" i="6"/>
  <c r="BI62" i="6"/>
  <c r="BK62" i="6"/>
  <c r="BJ62" i="6"/>
  <c r="BM62" i="6"/>
  <c r="BL62" i="6"/>
  <c r="BN62" i="6"/>
  <c r="BP62" i="6"/>
  <c r="BO62" i="6"/>
  <c r="BP68" i="6"/>
  <c r="W47" i="16"/>
  <c r="W33" i="16"/>
  <c r="W34" i="16" s="1"/>
  <c r="W13" i="16" s="1"/>
  <c r="W15" i="16" s="1"/>
  <c r="Q31" i="51" l="1"/>
  <c r="R9" i="49"/>
  <c r="Q33" i="51"/>
  <c r="R10" i="49"/>
  <c r="Q13" i="51"/>
  <c r="R22" i="49"/>
  <c r="R4" i="51"/>
  <c r="S12" i="49"/>
  <c r="W17" i="31"/>
  <c r="X11" i="16"/>
  <c r="AD14" i="17"/>
  <c r="AD29" i="17"/>
  <c r="X14" i="31"/>
  <c r="R29" i="51" s="1"/>
  <c r="Y24" i="11"/>
  <c r="N14" i="32"/>
  <c r="X19" i="34"/>
  <c r="R58" i="51" s="1"/>
  <c r="X26" i="16"/>
  <c r="Z27" i="16" s="1"/>
  <c r="X12" i="16"/>
  <c r="N19" i="35"/>
  <c r="X40" i="18"/>
  <c r="X41" i="18" s="1"/>
  <c r="X27" i="18"/>
  <c r="X28" i="18" s="1"/>
  <c r="W24" i="34"/>
  <c r="Q63" i="51" s="1"/>
  <c r="X9" i="19"/>
  <c r="X30" i="15"/>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X40" i="17"/>
  <c r="X41" i="17" s="1"/>
  <c r="Y53" i="12"/>
  <c r="Y54" i="12" s="1"/>
  <c r="Y11" i="11"/>
  <c r="Y12" i="11" s="1"/>
  <c r="Y23" i="10"/>
  <c r="Y24" i="10" s="1"/>
  <c r="AD21" i="34"/>
  <c r="X60" i="51" s="1"/>
  <c r="AD12" i="18"/>
  <c r="P21" i="35"/>
  <c r="Y11" i="13"/>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E142" i="6"/>
  <c r="BF142" i="6"/>
  <c r="BG142" i="6"/>
  <c r="BH142" i="6"/>
  <c r="BI142" i="6"/>
  <c r="BJ142" i="6"/>
  <c r="BK142" i="6"/>
  <c r="BL142" i="6"/>
  <c r="BM142" i="6"/>
  <c r="BN142" i="6"/>
  <c r="BO142" i="6"/>
  <c r="BP142" i="6"/>
  <c r="BQ142" i="6"/>
  <c r="BQ34" i="15"/>
  <c r="BQ12" i="14"/>
  <c r="BQ27" i="14"/>
  <c r="BQ49" i="15"/>
  <c r="H26" i="14"/>
  <c r="X14" i="34"/>
  <c r="R53" i="51" s="1"/>
  <c r="N14" i="35"/>
  <c r="J3" i="27"/>
  <c r="H62" i="6"/>
  <c r="Y25" i="12"/>
  <c r="F264" i="6"/>
  <c r="F266" i="6" s="1"/>
  <c r="F258" i="6" s="1"/>
  <c r="F256" i="6"/>
  <c r="X14" i="13"/>
  <c r="X30" i="13"/>
  <c r="X33" i="13" s="1"/>
  <c r="Q32" i="51" l="1"/>
  <c r="R8" i="49"/>
  <c r="BB148" i="6"/>
  <c r="BB149" i="6" s="1"/>
  <c r="BB154" i="6" s="1"/>
  <c r="BB163" i="6"/>
  <c r="BB155" i="6"/>
  <c r="BB156" i="6" s="1"/>
  <c r="BB161" i="6" s="1"/>
  <c r="H49" i="15"/>
  <c r="H34" i="15"/>
  <c r="H12" i="14"/>
  <c r="BN163" i="6"/>
  <c r="BN155" i="6"/>
  <c r="BN148" i="6"/>
  <c r="BN149" i="6" s="1"/>
  <c r="BN154" i="6" s="1"/>
  <c r="BF163" i="6"/>
  <c r="BF155" i="6"/>
  <c r="BF148" i="6"/>
  <c r="BF149" i="6" s="1"/>
  <c r="BF154" i="6" s="1"/>
  <c r="AX163" i="6"/>
  <c r="AX155" i="6"/>
  <c r="AX148" i="6"/>
  <c r="AX149" i="6" s="1"/>
  <c r="AX154" i="6" s="1"/>
  <c r="AP163" i="6"/>
  <c r="AP155" i="6"/>
  <c r="AP156" i="6" s="1"/>
  <c r="AP161" i="6" s="1"/>
  <c r="AP148" i="6"/>
  <c r="AP149" i="6" s="1"/>
  <c r="AP154" i="6" s="1"/>
  <c r="AH163" i="6"/>
  <c r="AH155" i="6"/>
  <c r="AH148" i="6"/>
  <c r="AH149" i="6" s="1"/>
  <c r="AH154" i="6" s="1"/>
  <c r="Z163" i="6"/>
  <c r="Z155" i="6"/>
  <c r="Z148" i="6"/>
  <c r="Z149" i="6" s="1"/>
  <c r="Z154" i="6" s="1"/>
  <c r="R163" i="6"/>
  <c r="R155" i="6"/>
  <c r="R148" i="6"/>
  <c r="R149" i="6" s="1"/>
  <c r="R154" i="6" s="1"/>
  <c r="J163" i="6"/>
  <c r="H142" i="6"/>
  <c r="J155" i="6"/>
  <c r="J148" i="6"/>
  <c r="J149" i="6" s="1"/>
  <c r="J154" i="6" s="1"/>
  <c r="Y10" i="37"/>
  <c r="T26" i="49" s="1"/>
  <c r="Y24" i="12"/>
  <c r="Y26" i="12" s="1"/>
  <c r="Y31" i="12" s="1"/>
  <c r="Y33" i="12" s="1"/>
  <c r="Z20" i="10"/>
  <c r="BN225" i="6"/>
  <c r="BN210" i="6"/>
  <c r="BN211" i="6" s="1"/>
  <c r="BN216" i="6" s="1"/>
  <c r="BN217" i="6"/>
  <c r="BF225" i="6"/>
  <c r="BF210" i="6"/>
  <c r="BF211" i="6" s="1"/>
  <c r="BF216" i="6" s="1"/>
  <c r="BF217" i="6"/>
  <c r="AX225" i="6"/>
  <c r="AX210" i="6"/>
  <c r="AX211" i="6" s="1"/>
  <c r="AX216" i="6" s="1"/>
  <c r="AX217" i="6"/>
  <c r="AP225" i="6"/>
  <c r="AP210" i="6"/>
  <c r="AP211" i="6" s="1"/>
  <c r="AP216" i="6" s="1"/>
  <c r="AP217" i="6"/>
  <c r="AH225" i="6"/>
  <c r="AH210" i="6"/>
  <c r="AH211" i="6" s="1"/>
  <c r="AH216" i="6" s="1"/>
  <c r="AH217" i="6"/>
  <c r="Z225" i="6"/>
  <c r="Z210" i="6"/>
  <c r="Z211" i="6" s="1"/>
  <c r="Z216" i="6" s="1"/>
  <c r="Z217" i="6"/>
  <c r="R225" i="6"/>
  <c r="R210" i="6"/>
  <c r="R211" i="6" s="1"/>
  <c r="R216" i="6" s="1"/>
  <c r="R217" i="6"/>
  <c r="J225" i="6"/>
  <c r="J217" i="6"/>
  <c r="J210" i="6"/>
  <c r="J211" i="6" s="1"/>
  <c r="J216" i="6" s="1"/>
  <c r="H204" i="6"/>
  <c r="BM163" i="6"/>
  <c r="BM155" i="6"/>
  <c r="BM148" i="6"/>
  <c r="BM149" i="6" s="1"/>
  <c r="BM154" i="6" s="1"/>
  <c r="AW155" i="6"/>
  <c r="AW148" i="6"/>
  <c r="AW149" i="6" s="1"/>
  <c r="AW154" i="6" s="1"/>
  <c r="AW163" i="6"/>
  <c r="AO163" i="6"/>
  <c r="AO155" i="6"/>
  <c r="AO148" i="6"/>
  <c r="AO149" i="6" s="1"/>
  <c r="AO154" i="6" s="1"/>
  <c r="AG163" i="6"/>
  <c r="AG155" i="6"/>
  <c r="AG148" i="6"/>
  <c r="AG149" i="6" s="1"/>
  <c r="AG154" i="6" s="1"/>
  <c r="Y163" i="6"/>
  <c r="Y155" i="6"/>
  <c r="Y148" i="6"/>
  <c r="Y149" i="6" s="1"/>
  <c r="Y154" i="6" s="1"/>
  <c r="Q163" i="6"/>
  <c r="Q155" i="6"/>
  <c r="Q148" i="6"/>
  <c r="Q149" i="6" s="1"/>
  <c r="Q154" i="6" s="1"/>
  <c r="Y16" i="19"/>
  <c r="Y17" i="19" s="1"/>
  <c r="Y42" i="15"/>
  <c r="Y20" i="15"/>
  <c r="Y25" i="11"/>
  <c r="BM225" i="6"/>
  <c r="BM210" i="6"/>
  <c r="BM211" i="6" s="1"/>
  <c r="BM216" i="6" s="1"/>
  <c r="BM217" i="6"/>
  <c r="BE225" i="6"/>
  <c r="BE210" i="6"/>
  <c r="BE211" i="6" s="1"/>
  <c r="BE216" i="6" s="1"/>
  <c r="BE217" i="6"/>
  <c r="AW225" i="6"/>
  <c r="AW210" i="6"/>
  <c r="AW211" i="6" s="1"/>
  <c r="AW216" i="6" s="1"/>
  <c r="AW217" i="6"/>
  <c r="AO225" i="6"/>
  <c r="AO210" i="6"/>
  <c r="AO211" i="6" s="1"/>
  <c r="AO216" i="6" s="1"/>
  <c r="AO217" i="6"/>
  <c r="AG225" i="6"/>
  <c r="AG210" i="6"/>
  <c r="AG211" i="6" s="1"/>
  <c r="AG216" i="6" s="1"/>
  <c r="AG217" i="6"/>
  <c r="Y225" i="6"/>
  <c r="Y210" i="6"/>
  <c r="Y211" i="6" s="1"/>
  <c r="Y216" i="6" s="1"/>
  <c r="Y217" i="6"/>
  <c r="Q225" i="6"/>
  <c r="Q210" i="6"/>
  <c r="Q211" i="6" s="1"/>
  <c r="Q216" i="6" s="1"/>
  <c r="Q217" i="6"/>
  <c r="X14" i="18"/>
  <c r="X29" i="18"/>
  <c r="BQ9" i="28"/>
  <c r="BK5" i="51" s="1"/>
  <c r="M9" i="29"/>
  <c r="K9" i="30"/>
  <c r="J9" i="23"/>
  <c r="D5" i="50" s="1"/>
  <c r="H27" i="14"/>
  <c r="S9" i="30"/>
  <c r="AC9" i="29"/>
  <c r="N9" i="23"/>
  <c r="H5" i="50" s="1"/>
  <c r="BL163" i="6"/>
  <c r="BL155" i="6"/>
  <c r="BL148" i="6"/>
  <c r="BL149" i="6" s="1"/>
  <c r="BL154" i="6" s="1"/>
  <c r="BD163" i="6"/>
  <c r="BD155" i="6"/>
  <c r="BD148" i="6"/>
  <c r="BD149" i="6" s="1"/>
  <c r="BD154" i="6" s="1"/>
  <c r="AV155" i="6"/>
  <c r="AV148" i="6"/>
  <c r="AV149" i="6" s="1"/>
  <c r="AV154" i="6" s="1"/>
  <c r="AV163" i="6"/>
  <c r="AN163" i="6"/>
  <c r="AN155" i="6"/>
  <c r="AN148" i="6"/>
  <c r="AN149" i="6" s="1"/>
  <c r="AN154" i="6" s="1"/>
  <c r="AF163" i="6"/>
  <c r="AF155" i="6"/>
  <c r="AF148" i="6"/>
  <c r="AF149" i="6" s="1"/>
  <c r="AF154" i="6" s="1"/>
  <c r="X163" i="6"/>
  <c r="X155" i="6"/>
  <c r="X148" i="6"/>
  <c r="X149" i="6" s="1"/>
  <c r="X154" i="6" s="1"/>
  <c r="P163" i="6"/>
  <c r="P155" i="6"/>
  <c r="P156" i="6" s="1"/>
  <c r="P161" i="6" s="1"/>
  <c r="P148" i="6"/>
  <c r="P149" i="6" s="1"/>
  <c r="P154" i="6" s="1"/>
  <c r="Y16" i="37"/>
  <c r="Y63" i="12"/>
  <c r="Y65" i="12" s="1"/>
  <c r="Y71" i="12"/>
  <c r="Y73" i="12" s="1"/>
  <c r="BL217" i="6"/>
  <c r="BL210" i="6"/>
  <c r="BL211" i="6" s="1"/>
  <c r="BL216" i="6" s="1"/>
  <c r="BL225" i="6"/>
  <c r="BD217" i="6"/>
  <c r="BD218" i="6" s="1"/>
  <c r="BD223" i="6" s="1"/>
  <c r="BD210" i="6"/>
  <c r="BD211" i="6" s="1"/>
  <c r="BD216" i="6" s="1"/>
  <c r="BD225" i="6"/>
  <c r="AV217" i="6"/>
  <c r="AV210" i="6"/>
  <c r="AV211" i="6" s="1"/>
  <c r="AV216" i="6" s="1"/>
  <c r="AV225" i="6"/>
  <c r="AN217" i="6"/>
  <c r="AN210" i="6"/>
  <c r="AN211" i="6" s="1"/>
  <c r="AN216" i="6" s="1"/>
  <c r="AN225" i="6"/>
  <c r="AF217" i="6"/>
  <c r="AF210" i="6"/>
  <c r="AF211" i="6" s="1"/>
  <c r="AF216" i="6" s="1"/>
  <c r="AF225" i="6"/>
  <c r="X217" i="6"/>
  <c r="X218" i="6" s="1"/>
  <c r="X223" i="6" s="1"/>
  <c r="X210" i="6"/>
  <c r="X211" i="6" s="1"/>
  <c r="X216" i="6" s="1"/>
  <c r="X225" i="6"/>
  <c r="P217" i="6"/>
  <c r="P210" i="6"/>
  <c r="P211" i="6" s="1"/>
  <c r="P216" i="6" s="1"/>
  <c r="P225" i="6"/>
  <c r="X42" i="18"/>
  <c r="X33" i="18"/>
  <c r="X46" i="18"/>
  <c r="X47" i="18" s="1"/>
  <c r="BK163" i="6"/>
  <c r="BK155" i="6"/>
  <c r="BK148" i="6"/>
  <c r="BK149" i="6" s="1"/>
  <c r="BK154" i="6" s="1"/>
  <c r="BC163" i="6"/>
  <c r="BC155" i="6"/>
  <c r="BC148" i="6"/>
  <c r="BC149" i="6" s="1"/>
  <c r="BC154" i="6" s="1"/>
  <c r="AU163" i="6"/>
  <c r="AU155" i="6"/>
  <c r="AU148" i="6"/>
  <c r="AU149" i="6" s="1"/>
  <c r="AU154" i="6" s="1"/>
  <c r="AM163" i="6"/>
  <c r="AM155" i="6"/>
  <c r="AM148" i="6"/>
  <c r="AM149" i="6" s="1"/>
  <c r="AM154" i="6" s="1"/>
  <c r="AE163" i="6"/>
  <c r="AE155" i="6"/>
  <c r="AE156" i="6" s="1"/>
  <c r="AE161" i="6" s="1"/>
  <c r="AE148" i="6"/>
  <c r="AE149" i="6" s="1"/>
  <c r="AE154" i="6" s="1"/>
  <c r="W163" i="6"/>
  <c r="W155" i="6"/>
  <c r="W148" i="6"/>
  <c r="W149" i="6" s="1"/>
  <c r="W154" i="6" s="1"/>
  <c r="O163" i="6"/>
  <c r="O155" i="6"/>
  <c r="O156" i="6" s="1"/>
  <c r="O161" i="6" s="1"/>
  <c r="O148" i="6"/>
  <c r="O149" i="6" s="1"/>
  <c r="O154" i="6" s="1"/>
  <c r="BK217" i="6"/>
  <c r="BK218" i="6" s="1"/>
  <c r="BK223" i="6" s="1"/>
  <c r="BK225" i="6"/>
  <c r="BK210" i="6"/>
  <c r="BK211" i="6" s="1"/>
  <c r="BK216" i="6" s="1"/>
  <c r="BC217" i="6"/>
  <c r="BC210" i="6"/>
  <c r="BC211" i="6" s="1"/>
  <c r="BC216" i="6" s="1"/>
  <c r="BC225" i="6"/>
  <c r="AU217" i="6"/>
  <c r="AU225" i="6"/>
  <c r="AU210" i="6"/>
  <c r="AU211" i="6" s="1"/>
  <c r="AU216" i="6" s="1"/>
  <c r="AM217" i="6"/>
  <c r="AM210" i="6"/>
  <c r="AM211" i="6" s="1"/>
  <c r="AM216" i="6" s="1"/>
  <c r="AM225" i="6"/>
  <c r="AE217" i="6"/>
  <c r="AE225" i="6"/>
  <c r="AE210" i="6"/>
  <c r="AE211" i="6" s="1"/>
  <c r="AE216" i="6" s="1"/>
  <c r="W217" i="6"/>
  <c r="W210" i="6"/>
  <c r="W211" i="6" s="1"/>
  <c r="W216" i="6" s="1"/>
  <c r="W225" i="6"/>
  <c r="O217" i="6"/>
  <c r="O225" i="6"/>
  <c r="O210" i="6"/>
  <c r="O211" i="6" s="1"/>
  <c r="O216" i="6" s="1"/>
  <c r="BE163" i="6"/>
  <c r="BE155" i="6"/>
  <c r="BE148" i="6"/>
  <c r="BE149" i="6" s="1"/>
  <c r="BE154" i="6" s="1"/>
  <c r="BJ210" i="6"/>
  <c r="BJ211" i="6" s="1"/>
  <c r="BJ216" i="6" s="1"/>
  <c r="BJ225" i="6"/>
  <c r="BJ217" i="6"/>
  <c r="AT210" i="6"/>
  <c r="AT211" i="6" s="1"/>
  <c r="AT216" i="6" s="1"/>
  <c r="AT225" i="6"/>
  <c r="AT217" i="6"/>
  <c r="AL210" i="6"/>
  <c r="AL211" i="6" s="1"/>
  <c r="AL216" i="6" s="1"/>
  <c r="AL225" i="6"/>
  <c r="AL217" i="6"/>
  <c r="AD210" i="6"/>
  <c r="AD211" i="6" s="1"/>
  <c r="AD216" i="6" s="1"/>
  <c r="AD225" i="6"/>
  <c r="AD217" i="6"/>
  <c r="V210" i="6"/>
  <c r="V211" i="6" s="1"/>
  <c r="V216" i="6" s="1"/>
  <c r="V225" i="6"/>
  <c r="V217" i="6"/>
  <c r="V218" i="6" s="1"/>
  <c r="V223" i="6" s="1"/>
  <c r="N210" i="6"/>
  <c r="N211" i="6" s="1"/>
  <c r="N216" i="6" s="1"/>
  <c r="N225" i="6"/>
  <c r="N217" i="6"/>
  <c r="AD18" i="34"/>
  <c r="X57" i="51" s="1"/>
  <c r="P18" i="35"/>
  <c r="X13" i="28"/>
  <c r="N13" i="29"/>
  <c r="BQ163" i="6"/>
  <c r="BQ155" i="6"/>
  <c r="BQ148" i="6"/>
  <c r="BQ149" i="6" s="1"/>
  <c r="BQ154" i="6" s="1"/>
  <c r="BI163" i="6"/>
  <c r="BI155" i="6"/>
  <c r="BI148" i="6"/>
  <c r="BI149" i="6" s="1"/>
  <c r="BI154" i="6" s="1"/>
  <c r="BA163" i="6"/>
  <c r="BA155" i="6"/>
  <c r="BA148" i="6"/>
  <c r="BA149" i="6" s="1"/>
  <c r="BA154" i="6" s="1"/>
  <c r="AS163" i="6"/>
  <c r="AS155" i="6"/>
  <c r="AS148" i="6"/>
  <c r="AS149" i="6" s="1"/>
  <c r="AS154" i="6" s="1"/>
  <c r="AK163" i="6"/>
  <c r="AK155" i="6"/>
  <c r="AK148" i="6"/>
  <c r="AK149" i="6" s="1"/>
  <c r="AK154" i="6" s="1"/>
  <c r="AC163" i="6"/>
  <c r="AC155" i="6"/>
  <c r="AC148" i="6"/>
  <c r="AC149" i="6" s="1"/>
  <c r="AC154" i="6" s="1"/>
  <c r="U155" i="6"/>
  <c r="U148" i="6"/>
  <c r="U149" i="6" s="1"/>
  <c r="U154" i="6" s="1"/>
  <c r="U163" i="6"/>
  <c r="M155" i="6"/>
  <c r="M148" i="6"/>
  <c r="M149" i="6" s="1"/>
  <c r="M154" i="6" s="1"/>
  <c r="M163" i="6"/>
  <c r="BQ210" i="6"/>
  <c r="BQ211" i="6" s="1"/>
  <c r="BQ216" i="6" s="1"/>
  <c r="BQ225" i="6"/>
  <c r="BQ217" i="6"/>
  <c r="BI210" i="6"/>
  <c r="BI211" i="6" s="1"/>
  <c r="BI216" i="6" s="1"/>
  <c r="BI225" i="6"/>
  <c r="BI217" i="6"/>
  <c r="BA210" i="6"/>
  <c r="BA211" i="6" s="1"/>
  <c r="BA216" i="6" s="1"/>
  <c r="BA225" i="6"/>
  <c r="BA217" i="6"/>
  <c r="BA218" i="6" s="1"/>
  <c r="BA223" i="6" s="1"/>
  <c r="AS210" i="6"/>
  <c r="AS211" i="6" s="1"/>
  <c r="AS216" i="6" s="1"/>
  <c r="AS225" i="6"/>
  <c r="AS217" i="6"/>
  <c r="AK210" i="6"/>
  <c r="AK211" i="6" s="1"/>
  <c r="AK216" i="6" s="1"/>
  <c r="AK225" i="6"/>
  <c r="AK217" i="6"/>
  <c r="AC210" i="6"/>
  <c r="AC211" i="6" s="1"/>
  <c r="AC216" i="6" s="1"/>
  <c r="AC225" i="6"/>
  <c r="AC217" i="6"/>
  <c r="U210" i="6"/>
  <c r="U211" i="6" s="1"/>
  <c r="U216" i="6" s="1"/>
  <c r="U225" i="6"/>
  <c r="U217" i="6"/>
  <c r="M225" i="6"/>
  <c r="M217" i="6"/>
  <c r="M210" i="6"/>
  <c r="M211" i="6" s="1"/>
  <c r="M216" i="6" s="1"/>
  <c r="X34" i="13"/>
  <c r="Y29" i="13"/>
  <c r="AT148" i="6"/>
  <c r="AT149" i="6" s="1"/>
  <c r="AT154" i="6" s="1"/>
  <c r="AT163" i="6"/>
  <c r="AT155" i="6"/>
  <c r="X33" i="17"/>
  <c r="X42" i="17"/>
  <c r="X46" i="17"/>
  <c r="X47" i="17" s="1"/>
  <c r="BH155" i="6"/>
  <c r="BH148" i="6"/>
  <c r="BH149" i="6" s="1"/>
  <c r="BH154" i="6" s="1"/>
  <c r="BH163" i="6"/>
  <c r="AZ155" i="6"/>
  <c r="AZ148" i="6"/>
  <c r="AZ149" i="6" s="1"/>
  <c r="AZ154" i="6" s="1"/>
  <c r="AZ163" i="6"/>
  <c r="AR155" i="6"/>
  <c r="AR163" i="6"/>
  <c r="AR148" i="6"/>
  <c r="AR149" i="6" s="1"/>
  <c r="AR154" i="6" s="1"/>
  <c r="AJ163" i="6"/>
  <c r="AJ155" i="6"/>
  <c r="AJ148" i="6"/>
  <c r="AJ149" i="6" s="1"/>
  <c r="AJ154" i="6" s="1"/>
  <c r="AB155" i="6"/>
  <c r="AB148" i="6"/>
  <c r="AB149" i="6" s="1"/>
  <c r="AB154" i="6" s="1"/>
  <c r="AB163" i="6"/>
  <c r="T155" i="6"/>
  <c r="T148" i="6"/>
  <c r="T149" i="6" s="1"/>
  <c r="T154" i="6" s="1"/>
  <c r="T163" i="6"/>
  <c r="L155" i="6"/>
  <c r="L148" i="6"/>
  <c r="L149" i="6" s="1"/>
  <c r="L154" i="6" s="1"/>
  <c r="L163" i="6"/>
  <c r="BP217" i="6"/>
  <c r="BP225" i="6"/>
  <c r="BP210" i="6"/>
  <c r="BP211" i="6" s="1"/>
  <c r="BP216" i="6" s="1"/>
  <c r="BH217" i="6"/>
  <c r="BH225" i="6"/>
  <c r="BH210" i="6"/>
  <c r="BH211" i="6" s="1"/>
  <c r="BH216" i="6" s="1"/>
  <c r="AZ217" i="6"/>
  <c r="AZ225" i="6"/>
  <c r="AZ210" i="6"/>
  <c r="AZ211" i="6" s="1"/>
  <c r="AZ216" i="6" s="1"/>
  <c r="AR217" i="6"/>
  <c r="AR225" i="6"/>
  <c r="AR210" i="6"/>
  <c r="AR211" i="6" s="1"/>
  <c r="AR216" i="6" s="1"/>
  <c r="AJ217" i="6"/>
  <c r="AJ225" i="6"/>
  <c r="AJ210" i="6"/>
  <c r="AJ211" i="6" s="1"/>
  <c r="AJ216" i="6" s="1"/>
  <c r="AB217" i="6"/>
  <c r="AB225" i="6"/>
  <c r="AB210" i="6"/>
  <c r="AB211" i="6" s="1"/>
  <c r="AB216" i="6" s="1"/>
  <c r="T217" i="6"/>
  <c r="T225" i="6"/>
  <c r="T210" i="6"/>
  <c r="T211" i="6" s="1"/>
  <c r="T216" i="6" s="1"/>
  <c r="L217" i="6"/>
  <c r="L225" i="6"/>
  <c r="L210" i="6"/>
  <c r="L211" i="6" s="1"/>
  <c r="L216" i="6" s="1"/>
  <c r="X39" i="16"/>
  <c r="X40" i="16" s="1"/>
  <c r="BJ148" i="6"/>
  <c r="BJ149" i="6" s="1"/>
  <c r="BJ154" i="6" s="1"/>
  <c r="BJ163" i="6"/>
  <c r="BJ155" i="6"/>
  <c r="BJ156" i="6" s="1"/>
  <c r="BJ161" i="6" s="1"/>
  <c r="AL148" i="6"/>
  <c r="AL149" i="6" s="1"/>
  <c r="AL154" i="6" s="1"/>
  <c r="AL163" i="6"/>
  <c r="AL155" i="6"/>
  <c r="AD148" i="6"/>
  <c r="AD149" i="6" s="1"/>
  <c r="AD154" i="6" s="1"/>
  <c r="AD163" i="6"/>
  <c r="AD155" i="6"/>
  <c r="V148" i="6"/>
  <c r="V149" i="6" s="1"/>
  <c r="V154" i="6" s="1"/>
  <c r="V163" i="6"/>
  <c r="V155" i="6"/>
  <c r="N148" i="6"/>
  <c r="N149" i="6" s="1"/>
  <c r="N154" i="6" s="1"/>
  <c r="N163" i="6"/>
  <c r="N155" i="6"/>
  <c r="BB210" i="6"/>
  <c r="BB211" i="6" s="1"/>
  <c r="BB216" i="6" s="1"/>
  <c r="BB225" i="6"/>
  <c r="BB217" i="6"/>
  <c r="BB218" i="6" s="1"/>
  <c r="BB223" i="6" s="1"/>
  <c r="K260" i="6"/>
  <c r="K50" i="19" s="1"/>
  <c r="J260" i="6"/>
  <c r="L260" i="6"/>
  <c r="L50" i="19" s="1"/>
  <c r="M260" i="6"/>
  <c r="M50" i="19" s="1"/>
  <c r="N260" i="6"/>
  <c r="N50" i="19" s="1"/>
  <c r="O260" i="6"/>
  <c r="O50" i="19" s="1"/>
  <c r="P260" i="6"/>
  <c r="P50" i="19" s="1"/>
  <c r="Q260" i="6"/>
  <c r="Q50" i="19" s="1"/>
  <c r="R260" i="6"/>
  <c r="R50" i="19" s="1"/>
  <c r="S260" i="6"/>
  <c r="S50" i="19" s="1"/>
  <c r="T260" i="6"/>
  <c r="T50" i="19" s="1"/>
  <c r="U260" i="6"/>
  <c r="U50" i="19" s="1"/>
  <c r="V260" i="6"/>
  <c r="V50" i="19" s="1"/>
  <c r="W260" i="6"/>
  <c r="W50" i="19" s="1"/>
  <c r="X260" i="6"/>
  <c r="X50" i="19" s="1"/>
  <c r="Y260" i="6"/>
  <c r="Y50" i="19" s="1"/>
  <c r="Z260" i="6"/>
  <c r="Z50" i="19" s="1"/>
  <c r="AA260" i="6"/>
  <c r="AA50" i="19" s="1"/>
  <c r="AB260" i="6"/>
  <c r="AB50" i="19" s="1"/>
  <c r="AC260" i="6"/>
  <c r="AC50" i="19" s="1"/>
  <c r="AD260" i="6"/>
  <c r="AD50" i="19" s="1"/>
  <c r="AE260" i="6"/>
  <c r="AE50" i="19" s="1"/>
  <c r="AF260" i="6"/>
  <c r="AF50" i="19" s="1"/>
  <c r="AG260" i="6"/>
  <c r="AG50" i="19" s="1"/>
  <c r="AH260" i="6"/>
  <c r="AH50" i="19" s="1"/>
  <c r="AI260" i="6"/>
  <c r="AI50" i="19" s="1"/>
  <c r="AJ260" i="6"/>
  <c r="AJ50" i="19" s="1"/>
  <c r="AK260" i="6"/>
  <c r="AK50" i="19" s="1"/>
  <c r="AL260" i="6"/>
  <c r="AL50" i="19" s="1"/>
  <c r="AM260" i="6"/>
  <c r="AM50" i="19" s="1"/>
  <c r="AN260" i="6"/>
  <c r="AN50" i="19" s="1"/>
  <c r="AO260" i="6"/>
  <c r="AO50" i="19" s="1"/>
  <c r="AP260" i="6"/>
  <c r="AP50" i="19" s="1"/>
  <c r="AQ260" i="6"/>
  <c r="AQ50" i="19" s="1"/>
  <c r="AR260" i="6"/>
  <c r="AR50" i="19" s="1"/>
  <c r="AS260" i="6"/>
  <c r="AS50" i="19" s="1"/>
  <c r="AT260" i="6"/>
  <c r="AT50" i="19" s="1"/>
  <c r="AU260" i="6"/>
  <c r="AU50" i="19" s="1"/>
  <c r="AV260" i="6"/>
  <c r="AV50" i="19" s="1"/>
  <c r="AW260" i="6"/>
  <c r="AW50" i="19" s="1"/>
  <c r="AX260" i="6"/>
  <c r="AX50" i="19" s="1"/>
  <c r="AY260" i="6"/>
  <c r="AY50" i="19" s="1"/>
  <c r="AZ260" i="6"/>
  <c r="AZ50" i="19" s="1"/>
  <c r="BA260" i="6"/>
  <c r="BA50" i="19" s="1"/>
  <c r="BB260" i="6"/>
  <c r="BB50" i="19" s="1"/>
  <c r="BC260" i="6"/>
  <c r="BC50" i="19" s="1"/>
  <c r="BD260" i="6"/>
  <c r="BD50" i="19" s="1"/>
  <c r="BE260" i="6"/>
  <c r="BE50" i="19" s="1"/>
  <c r="BF260" i="6"/>
  <c r="BF50" i="19" s="1"/>
  <c r="BG260" i="6"/>
  <c r="BG50" i="19" s="1"/>
  <c r="BH260" i="6"/>
  <c r="BH50" i="19" s="1"/>
  <c r="BI260" i="6"/>
  <c r="BI50" i="19" s="1"/>
  <c r="BJ260" i="6"/>
  <c r="BJ50" i="19" s="1"/>
  <c r="BK260" i="6"/>
  <c r="BK50" i="19" s="1"/>
  <c r="BL260" i="6"/>
  <c r="BL50" i="19" s="1"/>
  <c r="BM260" i="6"/>
  <c r="BM50" i="19" s="1"/>
  <c r="BN260" i="6"/>
  <c r="BN50" i="19" s="1"/>
  <c r="BO260" i="6"/>
  <c r="BO50" i="19" s="1"/>
  <c r="BP260" i="6"/>
  <c r="BP50" i="19" s="1"/>
  <c r="BQ260" i="6"/>
  <c r="BQ50" i="19" s="1"/>
  <c r="BP163" i="6"/>
  <c r="BP155" i="6"/>
  <c r="BP148" i="6"/>
  <c r="BP149" i="6" s="1"/>
  <c r="BP154" i="6" s="1"/>
  <c r="BO163" i="6"/>
  <c r="BO155" i="6"/>
  <c r="BO156" i="6" s="1"/>
  <c r="BO161" i="6" s="1"/>
  <c r="BO148" i="6"/>
  <c r="BO149" i="6" s="1"/>
  <c r="BO154" i="6" s="1"/>
  <c r="BG155" i="6"/>
  <c r="BG148" i="6"/>
  <c r="BG149" i="6" s="1"/>
  <c r="BG154" i="6" s="1"/>
  <c r="BG163" i="6"/>
  <c r="AY155" i="6"/>
  <c r="AY148" i="6"/>
  <c r="AY149" i="6" s="1"/>
  <c r="AY154" i="6" s="1"/>
  <c r="AY163" i="6"/>
  <c r="AQ155" i="6"/>
  <c r="AQ163" i="6"/>
  <c r="AQ148" i="6"/>
  <c r="AQ149" i="6" s="1"/>
  <c r="AQ154" i="6" s="1"/>
  <c r="AI163" i="6"/>
  <c r="AI155" i="6"/>
  <c r="AI156" i="6" s="1"/>
  <c r="AI161" i="6" s="1"/>
  <c r="AI148" i="6"/>
  <c r="AI149" i="6" s="1"/>
  <c r="AI154" i="6" s="1"/>
  <c r="AA155" i="6"/>
  <c r="AA148" i="6"/>
  <c r="AA149" i="6" s="1"/>
  <c r="AA154" i="6" s="1"/>
  <c r="AA163" i="6"/>
  <c r="S155" i="6"/>
  <c r="S148" i="6"/>
  <c r="S149" i="6" s="1"/>
  <c r="S154" i="6" s="1"/>
  <c r="S163" i="6"/>
  <c r="K155" i="6"/>
  <c r="K156" i="6" s="1"/>
  <c r="K161" i="6" s="1"/>
  <c r="K148" i="6"/>
  <c r="K149" i="6" s="1"/>
  <c r="K154" i="6" s="1"/>
  <c r="K163" i="6"/>
  <c r="BO210" i="6"/>
  <c r="BO211" i="6" s="1"/>
  <c r="BO216" i="6" s="1"/>
  <c r="BO225" i="6"/>
  <c r="BO217" i="6"/>
  <c r="BG210" i="6"/>
  <c r="BG211" i="6" s="1"/>
  <c r="BG216" i="6" s="1"/>
  <c r="BG225" i="6"/>
  <c r="BG217" i="6"/>
  <c r="AY210" i="6"/>
  <c r="AY211" i="6" s="1"/>
  <c r="AY216" i="6" s="1"/>
  <c r="AY225" i="6"/>
  <c r="AY217" i="6"/>
  <c r="AY218" i="6" s="1"/>
  <c r="AY223" i="6" s="1"/>
  <c r="AQ210" i="6"/>
  <c r="AQ211" i="6" s="1"/>
  <c r="AQ216" i="6" s="1"/>
  <c r="AQ225" i="6"/>
  <c r="AQ217" i="6"/>
  <c r="AI210" i="6"/>
  <c r="AI211" i="6" s="1"/>
  <c r="AI216" i="6" s="1"/>
  <c r="AI225" i="6"/>
  <c r="AI217" i="6"/>
  <c r="AI218" i="6" s="1"/>
  <c r="AI223" i="6" s="1"/>
  <c r="AA210" i="6"/>
  <c r="AA211" i="6" s="1"/>
  <c r="AA216" i="6" s="1"/>
  <c r="AA225" i="6"/>
  <c r="AA217" i="6"/>
  <c r="AA218" i="6" s="1"/>
  <c r="AA223" i="6" s="1"/>
  <c r="S210" i="6"/>
  <c r="S211" i="6" s="1"/>
  <c r="S216" i="6" s="1"/>
  <c r="S225" i="6"/>
  <c r="S217" i="6"/>
  <c r="K225" i="6"/>
  <c r="K217" i="6"/>
  <c r="K210" i="6"/>
  <c r="K211" i="6" s="1"/>
  <c r="K216" i="6" s="1"/>
  <c r="Z14" i="16"/>
  <c r="Z28" i="16"/>
  <c r="BM218" i="6" l="1"/>
  <c r="BM223" i="6" s="1"/>
  <c r="Z218" i="6"/>
  <c r="Z223" i="6" s="1"/>
  <c r="R9" i="51"/>
  <c r="S20" i="49"/>
  <c r="AQ156" i="6"/>
  <c r="AQ161" i="6" s="1"/>
  <c r="BH218" i="6"/>
  <c r="BH223" i="6" s="1"/>
  <c r="K218" i="6"/>
  <c r="K223" i="6" s="1"/>
  <c r="S218" i="6"/>
  <c r="S223" i="6" s="1"/>
  <c r="AL156" i="6"/>
  <c r="AL161" i="6" s="1"/>
  <c r="AL164" i="6" s="1"/>
  <c r="AL218" i="6"/>
  <c r="AL223" i="6" s="1"/>
  <c r="AJ218" i="6"/>
  <c r="AJ223" i="6" s="1"/>
  <c r="AC218" i="6"/>
  <c r="AC223" i="6" s="1"/>
  <c r="BQ156" i="6"/>
  <c r="BQ161" i="6" s="1"/>
  <c r="BM156" i="6"/>
  <c r="BM161" i="6" s="1"/>
  <c r="BN218" i="6"/>
  <c r="BN223" i="6" s="1"/>
  <c r="P218" i="6"/>
  <c r="P223" i="6" s="1"/>
  <c r="M218" i="6"/>
  <c r="M223" i="6" s="1"/>
  <c r="M226" i="6" s="1"/>
  <c r="AK218" i="6"/>
  <c r="AK223" i="6" s="1"/>
  <c r="AE218" i="6"/>
  <c r="AE223" i="6" s="1"/>
  <c r="BK156" i="6"/>
  <c r="BK161" i="6" s="1"/>
  <c r="BL156" i="6"/>
  <c r="BL161" i="6" s="1"/>
  <c r="BL164" i="6" s="1"/>
  <c r="AW218" i="6"/>
  <c r="AW223" i="6" s="1"/>
  <c r="AW226" i="6" s="1"/>
  <c r="V226" i="6"/>
  <c r="V18" i="14" s="1"/>
  <c r="V19" i="14" s="1"/>
  <c r="V33" i="15" s="1"/>
  <c r="AY156" i="6"/>
  <c r="AY161" i="6" s="1"/>
  <c r="BP156" i="6"/>
  <c r="BP161" i="6" s="1"/>
  <c r="BP218" i="6"/>
  <c r="BP223" i="6" s="1"/>
  <c r="AK226" i="6"/>
  <c r="AK18" i="14" s="1"/>
  <c r="AK19" i="14" s="1"/>
  <c r="AK48" i="15" s="1"/>
  <c r="BI218" i="6"/>
  <c r="BI223" i="6" s="1"/>
  <c r="M156" i="6"/>
  <c r="M161" i="6" s="1"/>
  <c r="AK156" i="6"/>
  <c r="AK161" i="6" s="1"/>
  <c r="AD218" i="6"/>
  <c r="AD223" i="6" s="1"/>
  <c r="BC218" i="6"/>
  <c r="BC223" i="6" s="1"/>
  <c r="W156" i="6"/>
  <c r="W161" i="6" s="1"/>
  <c r="BK164" i="6"/>
  <c r="BP164" i="6"/>
  <c r="N156" i="6"/>
  <c r="N161" i="6" s="1"/>
  <c r="AT156" i="6"/>
  <c r="AT161" i="6" s="1"/>
  <c r="AT164" i="6" s="1"/>
  <c r="U218" i="6"/>
  <c r="U223" i="6" s="1"/>
  <c r="BJ218" i="6"/>
  <c r="BJ223" i="6" s="1"/>
  <c r="AP164" i="6"/>
  <c r="BN156" i="6"/>
  <c r="BN161" i="6" s="1"/>
  <c r="AY164" i="6"/>
  <c r="BG218" i="6"/>
  <c r="BG223" i="6" s="1"/>
  <c r="AZ156" i="6"/>
  <c r="AZ161" i="6" s="1"/>
  <c r="AZ164" i="6" s="1"/>
  <c r="AV156" i="6"/>
  <c r="AV161" i="6" s="1"/>
  <c r="BE218" i="6"/>
  <c r="BE223" i="6" s="1"/>
  <c r="AW156" i="6"/>
  <c r="AW161" i="6" s="1"/>
  <c r="R218" i="6"/>
  <c r="R223" i="6" s="1"/>
  <c r="Z156" i="6"/>
  <c r="Z161" i="6" s="1"/>
  <c r="Z164" i="6" s="1"/>
  <c r="Y15" i="37"/>
  <c r="T28" i="49" s="1"/>
  <c r="Z60" i="12"/>
  <c r="X22" i="34"/>
  <c r="R61" i="51" s="1"/>
  <c r="N22" i="35"/>
  <c r="AG218" i="6"/>
  <c r="AG223" i="6" s="1"/>
  <c r="BF218" i="6"/>
  <c r="BF223" i="6" s="1"/>
  <c r="BF226" i="6" s="1"/>
  <c r="BO164" i="6"/>
  <c r="BJ164" i="6"/>
  <c r="BH156" i="6"/>
  <c r="BH161" i="6" s="1"/>
  <c r="X9" i="31"/>
  <c r="R24" i="51" s="1"/>
  <c r="N9" i="32"/>
  <c r="AC156" i="6"/>
  <c r="AC161" i="6" s="1"/>
  <c r="AC164" i="6" s="1"/>
  <c r="BQ164" i="6"/>
  <c r="BN164" i="6"/>
  <c r="K164" i="6"/>
  <c r="AA156" i="6"/>
  <c r="AA161" i="6" s="1"/>
  <c r="AD156" i="6"/>
  <c r="AD161" i="6" s="1"/>
  <c r="AD164" i="6" s="1"/>
  <c r="T218" i="6"/>
  <c r="T223" i="6" s="1"/>
  <c r="T156" i="6"/>
  <c r="T161" i="6" s="1"/>
  <c r="T164" i="6" s="1"/>
  <c r="X34" i="17"/>
  <c r="X35" i="17" s="1"/>
  <c r="X13" i="17" s="1"/>
  <c r="X15" i="17" s="1"/>
  <c r="X48" i="17"/>
  <c r="M164" i="6"/>
  <c r="BA156" i="6"/>
  <c r="BA161" i="6" s="1"/>
  <c r="BA164" i="6" s="1"/>
  <c r="N218" i="6"/>
  <c r="N223" i="6" s="1"/>
  <c r="O218" i="6"/>
  <c r="O223" i="6" s="1"/>
  <c r="W164" i="6"/>
  <c r="AU156" i="6"/>
  <c r="AU161" i="6" s="1"/>
  <c r="AU164" i="6" s="1"/>
  <c r="AN218" i="6"/>
  <c r="AN223" i="6" s="1"/>
  <c r="AN226" i="6" s="1"/>
  <c r="AF156" i="6"/>
  <c r="AF161" i="6" s="1"/>
  <c r="AF164" i="6" s="1"/>
  <c r="Q218" i="6"/>
  <c r="Q223" i="6" s="1"/>
  <c r="Y21" i="19"/>
  <c r="Y21" i="15"/>
  <c r="AA22" i="15" s="1"/>
  <c r="Y43" i="15"/>
  <c r="Y45" i="15" s="1"/>
  <c r="AG156" i="6"/>
  <c r="AG161" i="6" s="1"/>
  <c r="AG164" i="6" s="1"/>
  <c r="AP218" i="6"/>
  <c r="AP223" i="6" s="1"/>
  <c r="J156" i="6"/>
  <c r="AX156" i="6"/>
  <c r="AX161" i="6" s="1"/>
  <c r="AA164" i="6"/>
  <c r="AR218" i="6"/>
  <c r="AR223" i="6" s="1"/>
  <c r="AR156" i="6"/>
  <c r="AR161" i="6" s="1"/>
  <c r="AR164" i="6" s="1"/>
  <c r="X16" i="28"/>
  <c r="N16" i="29"/>
  <c r="AM218" i="6"/>
  <c r="AM223" i="6" s="1"/>
  <c r="X34" i="18"/>
  <c r="X35" i="18" s="1"/>
  <c r="X13" i="18" s="1"/>
  <c r="X15" i="18" s="1"/>
  <c r="X48" i="18"/>
  <c r="BL218" i="6"/>
  <c r="BL223" i="6" s="1"/>
  <c r="BL226" i="6" s="1"/>
  <c r="BD156" i="6"/>
  <c r="BD161" i="6" s="1"/>
  <c r="BD164" i="6" s="1"/>
  <c r="H9" i="30"/>
  <c r="H9" i="29"/>
  <c r="H9" i="28"/>
  <c r="H9" i="23"/>
  <c r="AO218" i="6"/>
  <c r="AO223" i="6" s="1"/>
  <c r="H163" i="6"/>
  <c r="H155" i="6"/>
  <c r="H148" i="6"/>
  <c r="AX164" i="6"/>
  <c r="Z20" i="34"/>
  <c r="T59" i="51" s="1"/>
  <c r="Q156" i="6"/>
  <c r="Q161" i="6" s="1"/>
  <c r="Q164" i="6" s="1"/>
  <c r="BM164" i="6"/>
  <c r="AH156" i="6"/>
  <c r="AH161" i="6" s="1"/>
  <c r="X41" i="16"/>
  <c r="X32" i="16"/>
  <c r="X45" i="16"/>
  <c r="X46" i="16" s="1"/>
  <c r="AI164" i="6"/>
  <c r="N164" i="6"/>
  <c r="AB218" i="6"/>
  <c r="AB223" i="6" s="1"/>
  <c r="AB226" i="6" s="1"/>
  <c r="AB18" i="14" s="1"/>
  <c r="AB19" i="14" s="1"/>
  <c r="AB156" i="6"/>
  <c r="AB161" i="6" s="1"/>
  <c r="AB164" i="6" s="1"/>
  <c r="BI226" i="6"/>
  <c r="BI18" i="14" s="1"/>
  <c r="BI19" i="14" s="1"/>
  <c r="AK164" i="6"/>
  <c r="BI156" i="6"/>
  <c r="BI161" i="6" s="1"/>
  <c r="BE156" i="6"/>
  <c r="BE161" i="6" s="1"/>
  <c r="BE164" i="6" s="1"/>
  <c r="W218" i="6"/>
  <c r="W223" i="6" s="1"/>
  <c r="AE164" i="6"/>
  <c r="BC156" i="6"/>
  <c r="BC161" i="6" s="1"/>
  <c r="BC164" i="6" s="1"/>
  <c r="X18" i="28"/>
  <c r="N18" i="29"/>
  <c r="AV218" i="6"/>
  <c r="AV223" i="6" s="1"/>
  <c r="P164" i="6"/>
  <c r="AN156" i="6"/>
  <c r="AN161" i="6" s="1"/>
  <c r="AN164" i="6" s="1"/>
  <c r="Y218" i="6"/>
  <c r="Y223" i="6" s="1"/>
  <c r="AO156" i="6"/>
  <c r="AO161" i="6" s="1"/>
  <c r="H217" i="6"/>
  <c r="H225" i="6"/>
  <c r="H210" i="6"/>
  <c r="AX218" i="6"/>
  <c r="AX223" i="6" s="1"/>
  <c r="AH164" i="6"/>
  <c r="BF156" i="6"/>
  <c r="BF161" i="6" s="1"/>
  <c r="BF164" i="6" s="1"/>
  <c r="S226" i="6"/>
  <c r="S18" i="14" s="1"/>
  <c r="S19" i="14" s="1"/>
  <c r="AQ218" i="6"/>
  <c r="AQ223" i="6" s="1"/>
  <c r="AQ226" i="6" s="1"/>
  <c r="BG156" i="6"/>
  <c r="BG161" i="6" s="1"/>
  <c r="BG164" i="6" s="1"/>
  <c r="AZ218" i="6"/>
  <c r="AZ223" i="6" s="1"/>
  <c r="AZ226" i="6" s="1"/>
  <c r="AZ18" i="14" s="1"/>
  <c r="AZ19" i="14" s="1"/>
  <c r="AS218" i="6"/>
  <c r="AS223" i="6" s="1"/>
  <c r="BI164" i="6"/>
  <c r="V48" i="15"/>
  <c r="AT218" i="6"/>
  <c r="AT223" i="6" s="1"/>
  <c r="AU218" i="6"/>
  <c r="AU223" i="6" s="1"/>
  <c r="AO164" i="6"/>
  <c r="Z28" i="10"/>
  <c r="R156" i="6"/>
  <c r="R161" i="6" s="1"/>
  <c r="R164" i="6" s="1"/>
  <c r="BB164" i="6"/>
  <c r="BO218" i="6"/>
  <c r="BO223" i="6" s="1"/>
  <c r="BO226" i="6" s="1"/>
  <c r="S156" i="6"/>
  <c r="S161" i="6" s="1"/>
  <c r="S164" i="6" s="1"/>
  <c r="AQ164" i="6"/>
  <c r="J50" i="19"/>
  <c r="H260" i="6"/>
  <c r="H50" i="19" s="1"/>
  <c r="V156" i="6"/>
  <c r="V161" i="6" s="1"/>
  <c r="V164" i="6" s="1"/>
  <c r="L218" i="6"/>
  <c r="L223" i="6" s="1"/>
  <c r="L156" i="6"/>
  <c r="L161" i="6" s="1"/>
  <c r="L164" i="6" s="1"/>
  <c r="AJ156" i="6"/>
  <c r="AJ161" i="6" s="1"/>
  <c r="AJ164" i="6" s="1"/>
  <c r="BH164" i="6"/>
  <c r="BQ218" i="6"/>
  <c r="BQ223" i="6" s="1"/>
  <c r="U156" i="6"/>
  <c r="U161" i="6" s="1"/>
  <c r="U164" i="6" s="1"/>
  <c r="AS156" i="6"/>
  <c r="AS161" i="6" s="1"/>
  <c r="AS164" i="6" s="1"/>
  <c r="AT226" i="6"/>
  <c r="AT18" i="14" s="1"/>
  <c r="AT19" i="14" s="1"/>
  <c r="AE226" i="6"/>
  <c r="AE18" i="14" s="1"/>
  <c r="AE19" i="14" s="1"/>
  <c r="BC226" i="6"/>
  <c r="BC18" i="14" s="1"/>
  <c r="BC19" i="14" s="1"/>
  <c r="O164" i="6"/>
  <c r="AM156" i="6"/>
  <c r="AM161" i="6" s="1"/>
  <c r="AM164" i="6" s="1"/>
  <c r="P226" i="6"/>
  <c r="P18" i="14" s="1"/>
  <c r="P19" i="14" s="1"/>
  <c r="AF218" i="6"/>
  <c r="AF223" i="6" s="1"/>
  <c r="Y17" i="37"/>
  <c r="T29" i="49" s="1"/>
  <c r="Z70" i="12"/>
  <c r="Y17" i="11"/>
  <c r="Y18" i="11" s="1"/>
  <c r="X156" i="6"/>
  <c r="X161" i="6" s="1"/>
  <c r="X164" i="6" s="1"/>
  <c r="AV164" i="6"/>
  <c r="Y226" i="6"/>
  <c r="Y18" i="14" s="1"/>
  <c r="Y19" i="14" s="1"/>
  <c r="Y156" i="6"/>
  <c r="Y161" i="6" s="1"/>
  <c r="Y164" i="6" s="1"/>
  <c r="AW164" i="6"/>
  <c r="J218" i="6"/>
  <c r="AH218" i="6"/>
  <c r="AH223" i="6" s="1"/>
  <c r="AH226" i="6" s="1"/>
  <c r="Y11" i="37"/>
  <c r="Y20" i="17"/>
  <c r="Y22" i="17" s="1"/>
  <c r="Y13" i="15"/>
  <c r="Y14" i="15" s="1"/>
  <c r="Y21" i="13"/>
  <c r="Y24" i="13" s="1"/>
  <c r="Y39" i="12"/>
  <c r="AE41" i="12" s="1"/>
  <c r="Y48" i="12"/>
  <c r="Y50" i="12" s="1"/>
  <c r="Y17" i="9"/>
  <c r="Y18" i="9" s="1"/>
  <c r="AW18" i="14" l="1"/>
  <c r="AW19" i="14" s="1"/>
  <c r="AX226" i="6"/>
  <c r="AX18" i="14" s="1"/>
  <c r="AX19" i="14" s="1"/>
  <c r="R12" i="51"/>
  <c r="S21" i="49"/>
  <c r="R14" i="51"/>
  <c r="S23" i="49"/>
  <c r="V20" i="14"/>
  <c r="AU226" i="6"/>
  <c r="AU18" i="14" s="1"/>
  <c r="AU19" i="14" s="1"/>
  <c r="AU33" i="15" s="1"/>
  <c r="M18" i="14"/>
  <c r="M19" i="14" s="1"/>
  <c r="N226" i="6"/>
  <c r="N18" i="14" s="1"/>
  <c r="N19" i="14" s="1"/>
  <c r="BF18" i="14"/>
  <c r="BF19" i="14" s="1"/>
  <c r="BF20" i="14" s="1"/>
  <c r="BG226" i="6"/>
  <c r="BG18" i="14" s="1"/>
  <c r="BG19" i="14" s="1"/>
  <c r="V11" i="14"/>
  <c r="V13" i="14" s="1"/>
  <c r="V35" i="15" s="1"/>
  <c r="AL226" i="6"/>
  <c r="AL18" i="14" s="1"/>
  <c r="AL19" i="14" s="1"/>
  <c r="AL48" i="15" s="1"/>
  <c r="AK20" i="14"/>
  <c r="AK11" i="14"/>
  <c r="AK13" i="14" s="1"/>
  <c r="AK10" i="19" s="1"/>
  <c r="AK33" i="15"/>
  <c r="W226" i="6"/>
  <c r="W18" i="14" s="1"/>
  <c r="W19" i="14" s="1"/>
  <c r="W48" i="15" s="1"/>
  <c r="BL18" i="14"/>
  <c r="BL19" i="14" s="1"/>
  <c r="BM226" i="6"/>
  <c r="AH18" i="14"/>
  <c r="AH19" i="14" s="1"/>
  <c r="AI226" i="6"/>
  <c r="Y10" i="31"/>
  <c r="S25" i="51" s="1"/>
  <c r="Z41" i="15"/>
  <c r="AQ18" i="14"/>
  <c r="AQ19" i="14" s="1"/>
  <c r="AR226" i="6"/>
  <c r="BO18" i="14"/>
  <c r="BO19" i="14" s="1"/>
  <c r="BP226" i="6"/>
  <c r="AA8" i="34"/>
  <c r="U47" i="51" s="1"/>
  <c r="AA44" i="15"/>
  <c r="L8" i="36"/>
  <c r="O8" i="35"/>
  <c r="AN18" i="14"/>
  <c r="AN19" i="14" s="1"/>
  <c r="AO226" i="6"/>
  <c r="AX20" i="14"/>
  <c r="AX10" i="28" s="1"/>
  <c r="AR6" i="51" s="1"/>
  <c r="AX33" i="15"/>
  <c r="AX11" i="14"/>
  <c r="AX13" i="14" s="1"/>
  <c r="AX48" i="15"/>
  <c r="BC48" i="15"/>
  <c r="BC33" i="15"/>
  <c r="BC20" i="14"/>
  <c r="BC11" i="14"/>
  <c r="BC13" i="14" s="1"/>
  <c r="V10" i="28"/>
  <c r="S48" i="15"/>
  <c r="S33" i="15"/>
  <c r="S11" i="14"/>
  <c r="S13" i="14" s="1"/>
  <c r="S20" i="14"/>
  <c r="X47" i="16"/>
  <c r="X33" i="16"/>
  <c r="X34" i="16" s="1"/>
  <c r="X13" i="16" s="1"/>
  <c r="X15" i="16" s="1"/>
  <c r="J161" i="6"/>
  <c r="J164" i="6" s="1"/>
  <c r="H156" i="6"/>
  <c r="H161" i="6" s="1"/>
  <c r="BF33" i="15"/>
  <c r="BF11" i="14"/>
  <c r="BF13" i="14" s="1"/>
  <c r="AE48" i="15"/>
  <c r="AE33" i="15"/>
  <c r="AE20" i="14"/>
  <c r="AE11" i="14"/>
  <c r="AE13" i="14" s="1"/>
  <c r="H218" i="6"/>
  <c r="H223" i="6" s="1"/>
  <c r="J223" i="6"/>
  <c r="J226" i="6" s="1"/>
  <c r="AT48" i="15"/>
  <c r="AT11" i="14"/>
  <c r="AT13" i="14" s="1"/>
  <c r="AT33" i="15"/>
  <c r="AT20" i="14"/>
  <c r="BD226" i="6"/>
  <c r="V50" i="15"/>
  <c r="V51" i="15" s="1"/>
  <c r="AF226" i="6"/>
  <c r="AZ33" i="15"/>
  <c r="AZ11" i="14"/>
  <c r="AZ13" i="14" s="1"/>
  <c r="AZ48" i="15"/>
  <c r="AZ20" i="14"/>
  <c r="X17" i="28"/>
  <c r="N17" i="29"/>
  <c r="Q226" i="6"/>
  <c r="Y8" i="28"/>
  <c r="Y19" i="16"/>
  <c r="Y21" i="16" s="1"/>
  <c r="Y26" i="11"/>
  <c r="Y27" i="11" s="1"/>
  <c r="AU48" i="15"/>
  <c r="AU20" i="14"/>
  <c r="AU10" i="28" s="1"/>
  <c r="AO6" i="51" s="1"/>
  <c r="AU11" i="14"/>
  <c r="AU13" i="14" s="1"/>
  <c r="Y12" i="37"/>
  <c r="T27" i="49" s="1"/>
  <c r="Y12" i="13"/>
  <c r="Y13" i="13" s="1"/>
  <c r="Z47" i="12"/>
  <c r="AE13" i="37"/>
  <c r="AE20" i="18"/>
  <c r="AE22" i="18" s="1"/>
  <c r="AE49" i="12"/>
  <c r="AE61" i="12"/>
  <c r="N48" i="15"/>
  <c r="N11" i="14"/>
  <c r="N13" i="14" s="1"/>
  <c r="N33" i="15"/>
  <c r="N20" i="14"/>
  <c r="N10" i="28" s="1"/>
  <c r="AC226" i="6"/>
  <c r="AB48" i="15"/>
  <c r="AB33" i="15"/>
  <c r="AB11" i="14"/>
  <c r="AB13" i="14" s="1"/>
  <c r="AB20" i="14"/>
  <c r="Y8" i="31"/>
  <c r="S23" i="51" s="1"/>
  <c r="Z20" i="13"/>
  <c r="X18" i="31"/>
  <c r="Y11" i="18"/>
  <c r="N18" i="32"/>
  <c r="AV226" i="6"/>
  <c r="AV18" i="14" s="1"/>
  <c r="AV19" i="14" s="1"/>
  <c r="BA226" i="6"/>
  <c r="Y29" i="15"/>
  <c r="Y10" i="12"/>
  <c r="Y11" i="12" s="1"/>
  <c r="Y15" i="15"/>
  <c r="Y32" i="15"/>
  <c r="X25" i="34"/>
  <c r="R64" i="51" s="1"/>
  <c r="N25" i="35"/>
  <c r="X23" i="34"/>
  <c r="R62" i="51" s="1"/>
  <c r="N23" i="35"/>
  <c r="Z27" i="10"/>
  <c r="Z29" i="10" s="1"/>
  <c r="Y20" i="14"/>
  <c r="Y48" i="15"/>
  <c r="Y33" i="15"/>
  <c r="Y11" i="14"/>
  <c r="Y13" i="14" s="1"/>
  <c r="P11" i="14"/>
  <c r="P13" i="14" s="1"/>
  <c r="P48" i="15"/>
  <c r="P20" i="14"/>
  <c r="P33" i="15"/>
  <c r="Y17" i="34"/>
  <c r="S56" i="51" s="1"/>
  <c r="Y27" i="17"/>
  <c r="AE28" i="17" s="1"/>
  <c r="Y12" i="17"/>
  <c r="Z226" i="6"/>
  <c r="AK10" i="28"/>
  <c r="AE6" i="51" s="1"/>
  <c r="X16" i="31"/>
  <c r="Y11" i="17"/>
  <c r="N16" i="32"/>
  <c r="AY226" i="6"/>
  <c r="AY18" i="14" s="1"/>
  <c r="AY19" i="14" s="1"/>
  <c r="AM226" i="6"/>
  <c r="AM18" i="14" s="1"/>
  <c r="AM19" i="14" s="1"/>
  <c r="BH226" i="6"/>
  <c r="BH18" i="14" s="1"/>
  <c r="BH19" i="14" s="1"/>
  <c r="BI33" i="15"/>
  <c r="BI11" i="14"/>
  <c r="BI13" i="14" s="1"/>
  <c r="BI20" i="14"/>
  <c r="BI48" i="15"/>
  <c r="BG48" i="15"/>
  <c r="BG33" i="15"/>
  <c r="BG11" i="14"/>
  <c r="BG13" i="14" s="1"/>
  <c r="BG20" i="14"/>
  <c r="BG10" i="28" s="1"/>
  <c r="BA6" i="51" s="1"/>
  <c r="BJ226" i="6"/>
  <c r="O226" i="6"/>
  <c r="O18" i="14" s="1"/>
  <c r="O19" i="14" s="1"/>
  <c r="T226" i="6"/>
  <c r="AK35" i="15" l="1"/>
  <c r="AK50" i="15"/>
  <c r="AK51" i="15" s="1"/>
  <c r="H6" i="51"/>
  <c r="I19" i="49"/>
  <c r="R31" i="51"/>
  <c r="S9" i="49"/>
  <c r="S4" i="51"/>
  <c r="T12" i="49"/>
  <c r="BF48" i="15"/>
  <c r="W11" i="14"/>
  <c r="W13" i="14" s="1"/>
  <c r="W35" i="15" s="1"/>
  <c r="P6" i="51"/>
  <c r="Q19" i="49"/>
  <c r="R33" i="51"/>
  <c r="S10" i="49"/>
  <c r="R13" i="51"/>
  <c r="S22" i="49"/>
  <c r="AW11" i="14"/>
  <c r="AW13" i="14" s="1"/>
  <c r="AW48" i="15"/>
  <c r="AW20" i="14"/>
  <c r="AW10" i="28" s="1"/>
  <c r="AQ6" i="51" s="1"/>
  <c r="AW33" i="15"/>
  <c r="V10" i="19"/>
  <c r="V11" i="19" s="1"/>
  <c r="V22" i="19" s="1"/>
  <c r="V23" i="19" s="1"/>
  <c r="V30" i="19" s="1"/>
  <c r="V11" i="28"/>
  <c r="W20" i="14"/>
  <c r="W10" i="28" s="1"/>
  <c r="W33" i="15"/>
  <c r="AL11" i="14"/>
  <c r="AL13" i="14" s="1"/>
  <c r="N11" i="28"/>
  <c r="AL33" i="15"/>
  <c r="AL20" i="14"/>
  <c r="AL10" i="28" s="1"/>
  <c r="AF6" i="51" s="1"/>
  <c r="X226" i="6"/>
  <c r="X18" i="14" s="1"/>
  <c r="X19" i="14" s="1"/>
  <c r="X20" i="14" s="1"/>
  <c r="M11" i="14"/>
  <c r="M13" i="14" s="1"/>
  <c r="M48" i="15"/>
  <c r="M33" i="15"/>
  <c r="M20" i="14"/>
  <c r="M10" i="28" s="1"/>
  <c r="AK52" i="15"/>
  <c r="AK31" i="15"/>
  <c r="AV11" i="14"/>
  <c r="AV13" i="14" s="1"/>
  <c r="AV48" i="15"/>
  <c r="AV20" i="14"/>
  <c r="AV10" i="28" s="1"/>
  <c r="AP6" i="51" s="1"/>
  <c r="AV33" i="15"/>
  <c r="BI10" i="19"/>
  <c r="BI50" i="15"/>
  <c r="BI35" i="15"/>
  <c r="Y40" i="17"/>
  <c r="Y41" i="17" s="1"/>
  <c r="Y10" i="19"/>
  <c r="Y50" i="15"/>
  <c r="Y51" i="15" s="1"/>
  <c r="Y35" i="15"/>
  <c r="Y14" i="34"/>
  <c r="S53" i="51" s="1"/>
  <c r="AE21" i="34"/>
  <c r="Y60" i="51" s="1"/>
  <c r="AE12" i="18"/>
  <c r="J18" i="14"/>
  <c r="J19" i="14" s="1"/>
  <c r="K226" i="6"/>
  <c r="S10" i="19"/>
  <c r="S11" i="19" s="1"/>
  <c r="S22" i="19" s="1"/>
  <c r="S23" i="19" s="1"/>
  <c r="S50" i="15"/>
  <c r="S51" i="15" s="1"/>
  <c r="S35" i="15"/>
  <c r="BC10" i="28"/>
  <c r="AW6" i="51" s="1"/>
  <c r="AN11" i="14"/>
  <c r="AN13" i="14" s="1"/>
  <c r="AN33" i="15"/>
  <c r="AN20" i="14"/>
  <c r="AN48" i="15"/>
  <c r="AR18" i="14"/>
  <c r="AR19" i="14" s="1"/>
  <c r="AS226" i="6"/>
  <c r="AS18" i="14" s="1"/>
  <c r="AS19" i="14" s="1"/>
  <c r="V49" i="19"/>
  <c r="AQ48" i="15"/>
  <c r="AQ33" i="15"/>
  <c r="AQ11" i="14"/>
  <c r="AQ13" i="14" s="1"/>
  <c r="AQ20" i="14"/>
  <c r="Y40" i="18"/>
  <c r="Y41" i="18" s="1"/>
  <c r="Y27" i="18"/>
  <c r="Y28" i="18" s="1"/>
  <c r="BH48" i="15"/>
  <c r="BH33" i="15"/>
  <c r="BH11" i="14"/>
  <c r="BH13" i="14" s="1"/>
  <c r="BH20" i="14"/>
  <c r="BH10" i="28" s="1"/>
  <c r="BB6" i="51" s="1"/>
  <c r="AE14" i="17"/>
  <c r="AE29" i="17"/>
  <c r="Z25" i="12"/>
  <c r="AZ10" i="28"/>
  <c r="AT6" i="51" s="1"/>
  <c r="BD18" i="14"/>
  <c r="BD19" i="14" s="1"/>
  <c r="BE226" i="6"/>
  <c r="BE18" i="14" s="1"/>
  <c r="BE19" i="14" s="1"/>
  <c r="BF10" i="28"/>
  <c r="AZ6" i="51" s="1"/>
  <c r="Z10" i="29"/>
  <c r="Y9" i="19"/>
  <c r="Y30" i="15"/>
  <c r="BG10" i="19"/>
  <c r="BG50" i="15"/>
  <c r="BG35" i="15"/>
  <c r="Y10" i="28"/>
  <c r="BA18" i="14"/>
  <c r="BA19" i="14" s="1"/>
  <c r="BB226" i="6"/>
  <c r="BB18" i="14" s="1"/>
  <c r="BB19" i="14" s="1"/>
  <c r="Z11" i="13"/>
  <c r="Y14" i="13"/>
  <c r="Y30" i="13"/>
  <c r="Y33" i="13" s="1"/>
  <c r="AT10" i="28"/>
  <c r="AN6" i="51" s="1"/>
  <c r="V10" i="29"/>
  <c r="AE10" i="19"/>
  <c r="AE50" i="15"/>
  <c r="AE51" i="15" s="1"/>
  <c r="AE35" i="15"/>
  <c r="N10" i="19"/>
  <c r="N11" i="19" s="1"/>
  <c r="N22" i="19" s="1"/>
  <c r="N23" i="19" s="1"/>
  <c r="N35" i="15"/>
  <c r="N50" i="15"/>
  <c r="N51" i="15" s="1"/>
  <c r="AZ10" i="19"/>
  <c r="AZ50" i="15"/>
  <c r="AZ51" i="15" s="1"/>
  <c r="AZ35" i="15"/>
  <c r="AE10" i="28"/>
  <c r="AX10" i="19"/>
  <c r="AX50" i="15"/>
  <c r="AX51" i="15" s="1"/>
  <c r="AX35" i="15"/>
  <c r="AI18" i="14"/>
  <c r="AI19" i="14" s="1"/>
  <c r="AJ226" i="6"/>
  <c r="AJ18" i="14" s="1"/>
  <c r="AJ19" i="14" s="1"/>
  <c r="X17" i="31"/>
  <c r="Y11" i="16"/>
  <c r="N17" i="32"/>
  <c r="AC18" i="14"/>
  <c r="AC19" i="14" s="1"/>
  <c r="AD226" i="6"/>
  <c r="AD18" i="14" s="1"/>
  <c r="AD19" i="14" s="1"/>
  <c r="AU10" i="19"/>
  <c r="AU50" i="15"/>
  <c r="AU51" i="15" s="1"/>
  <c r="AU35" i="15"/>
  <c r="Y19" i="34"/>
  <c r="S58" i="51" s="1"/>
  <c r="Y26" i="16"/>
  <c r="AA27" i="16" s="1"/>
  <c r="Y12" i="16"/>
  <c r="Q18" i="14"/>
  <c r="Q19" i="14" s="1"/>
  <c r="R226" i="6"/>
  <c r="R18" i="14" s="1"/>
  <c r="R19" i="14" s="1"/>
  <c r="AT10" i="19"/>
  <c r="AT35" i="15"/>
  <c r="AT50" i="15"/>
  <c r="AT51" i="15" s="1"/>
  <c r="AH20" i="14"/>
  <c r="AH48" i="15"/>
  <c r="AH33" i="15"/>
  <c r="AH11" i="14"/>
  <c r="AH13" i="14" s="1"/>
  <c r="T18" i="14"/>
  <c r="T19" i="14" s="1"/>
  <c r="U226" i="6"/>
  <c r="U18" i="14" s="1"/>
  <c r="U19" i="14" s="1"/>
  <c r="Z18" i="14"/>
  <c r="Z19" i="14" s="1"/>
  <c r="AA226" i="6"/>
  <c r="AA18" i="14" s="1"/>
  <c r="AA19" i="14" s="1"/>
  <c r="Y14" i="31"/>
  <c r="S29" i="51" s="1"/>
  <c r="Z24" i="11"/>
  <c r="BG51" i="15"/>
  <c r="AY48" i="15"/>
  <c r="AY33" i="15"/>
  <c r="AY11" i="14"/>
  <c r="AY13" i="14" s="1"/>
  <c r="AY20" i="14"/>
  <c r="P10" i="28"/>
  <c r="BJ18" i="14"/>
  <c r="BJ19" i="14" s="1"/>
  <c r="BK226" i="6"/>
  <c r="BK18" i="14" s="1"/>
  <c r="BK19" i="14" s="1"/>
  <c r="BI51" i="15"/>
  <c r="Z53" i="12"/>
  <c r="Z54" i="12" s="1"/>
  <c r="Z11" i="11"/>
  <c r="Z12" i="11" s="1"/>
  <c r="Z23" i="10"/>
  <c r="Z24" i="10" s="1"/>
  <c r="AB10" i="28"/>
  <c r="X11" i="14"/>
  <c r="X13" i="14" s="1"/>
  <c r="AF18" i="14"/>
  <c r="AF19" i="14" s="1"/>
  <c r="AG226" i="6"/>
  <c r="AG18" i="14" s="1"/>
  <c r="AG19" i="14" s="1"/>
  <c r="X24" i="34"/>
  <c r="R63" i="51" s="1"/>
  <c r="N24" i="35"/>
  <c r="BP18" i="14"/>
  <c r="BP19" i="14" s="1"/>
  <c r="BQ226" i="6"/>
  <c r="BQ18" i="14" s="1"/>
  <c r="BQ19" i="14" s="1"/>
  <c r="BM18" i="14"/>
  <c r="BM19" i="14" s="1"/>
  <c r="BN226" i="6"/>
  <c r="BN18" i="14" s="1"/>
  <c r="BN19" i="14" s="1"/>
  <c r="AM48" i="15"/>
  <c r="AM33" i="15"/>
  <c r="AM20" i="14"/>
  <c r="AM11" i="14"/>
  <c r="AM13" i="14" s="1"/>
  <c r="V31" i="15"/>
  <c r="V52" i="15"/>
  <c r="AL10" i="19"/>
  <c r="AL50" i="15"/>
  <c r="AL51" i="15" s="1"/>
  <c r="AL35" i="15"/>
  <c r="O48" i="15"/>
  <c r="O33" i="15"/>
  <c r="O20" i="14"/>
  <c r="O10" i="28" s="1"/>
  <c r="O11" i="14"/>
  <c r="O13" i="14" s="1"/>
  <c r="BI10" i="28"/>
  <c r="BC6" i="51" s="1"/>
  <c r="P10" i="19"/>
  <c r="P11" i="19" s="1"/>
  <c r="P22" i="19" s="1"/>
  <c r="P23" i="19" s="1"/>
  <c r="P50" i="15"/>
  <c r="P51" i="15" s="1"/>
  <c r="P35" i="15"/>
  <c r="AB10" i="19"/>
  <c r="AB50" i="15"/>
  <c r="AB51" i="15" s="1"/>
  <c r="AB35" i="15"/>
  <c r="BF10" i="19"/>
  <c r="BF50" i="15"/>
  <c r="BF51" i="15" s="1"/>
  <c r="BF35" i="15"/>
  <c r="S10" i="28"/>
  <c r="BC10" i="19"/>
  <c r="BC35" i="15"/>
  <c r="BC50" i="15"/>
  <c r="BC51" i="15" s="1"/>
  <c r="AO18" i="14"/>
  <c r="AO19" i="14" s="1"/>
  <c r="AP226" i="6"/>
  <c r="AP18" i="14" s="1"/>
  <c r="AP19" i="14" s="1"/>
  <c r="BO48" i="15"/>
  <c r="BO33" i="15"/>
  <c r="BO11" i="14"/>
  <c r="BO13" i="14" s="1"/>
  <c r="BO20" i="14"/>
  <c r="BL11" i="14"/>
  <c r="BL13" i="14" s="1"/>
  <c r="BL20" i="14"/>
  <c r="BL48" i="15"/>
  <c r="BL33" i="15"/>
  <c r="Y11" i="19" l="1"/>
  <c r="Y22" i="19" s="1"/>
  <c r="Y23" i="19" s="1"/>
  <c r="H7" i="51"/>
  <c r="I13" i="49"/>
  <c r="R32" i="51"/>
  <c r="S8" i="49"/>
  <c r="G6" i="51"/>
  <c r="H19" i="49"/>
  <c r="AW50" i="15"/>
  <c r="AW51" i="15" s="1"/>
  <c r="AW35" i="15"/>
  <c r="AW10" i="19"/>
  <c r="Y11" i="28"/>
  <c r="S6" i="51"/>
  <c r="T19" i="49"/>
  <c r="J6" i="51"/>
  <c r="K19" i="49"/>
  <c r="W10" i="19"/>
  <c r="W11" i="19" s="1"/>
  <c r="W22" i="19" s="1"/>
  <c r="W23" i="19" s="1"/>
  <c r="V6" i="51"/>
  <c r="W19" i="49"/>
  <c r="Q6" i="51"/>
  <c r="R19" i="49"/>
  <c r="N9" i="20"/>
  <c r="N10" i="20" s="1"/>
  <c r="N14" i="20" s="1"/>
  <c r="N15" i="20" s="1"/>
  <c r="P7" i="51"/>
  <c r="Q13" i="49"/>
  <c r="W50" i="15"/>
  <c r="W51" i="15" s="1"/>
  <c r="M6" i="51"/>
  <c r="N19" i="49"/>
  <c r="N14" i="28"/>
  <c r="I6" i="51"/>
  <c r="J19" i="49"/>
  <c r="Y6" i="51"/>
  <c r="Z19" i="49"/>
  <c r="S11" i="28"/>
  <c r="O11" i="28"/>
  <c r="P11" i="28"/>
  <c r="N19" i="28"/>
  <c r="M50" i="15"/>
  <c r="M51" i="15" s="1"/>
  <c r="M35" i="15"/>
  <c r="M10" i="19"/>
  <c r="M11" i="19" s="1"/>
  <c r="M22" i="19" s="1"/>
  <c r="M23" i="19" s="1"/>
  <c r="V9" i="20"/>
  <c r="V10" i="20" s="1"/>
  <c r="V14" i="20" s="1"/>
  <c r="V15" i="20" s="1"/>
  <c r="X33" i="15"/>
  <c r="V14" i="28"/>
  <c r="X48" i="15"/>
  <c r="M11" i="28"/>
  <c r="W11" i="28"/>
  <c r="AZ31" i="15"/>
  <c r="AZ52" i="15"/>
  <c r="AL31" i="15"/>
  <c r="AL52" i="15"/>
  <c r="AL9" i="34" s="1"/>
  <c r="AF48" i="51" s="1"/>
  <c r="BF52" i="15"/>
  <c r="BF31" i="15"/>
  <c r="AU52" i="15"/>
  <c r="AU9" i="34" s="1"/>
  <c r="AO48" i="51" s="1"/>
  <c r="AU31" i="15"/>
  <c r="N52" i="15"/>
  <c r="N9" i="34" s="1"/>
  <c r="H48" i="51" s="1"/>
  <c r="N31" i="15"/>
  <c r="W31" i="15"/>
  <c r="W52" i="15"/>
  <c r="W9" i="34" s="1"/>
  <c r="Q48" i="51" s="1"/>
  <c r="AT52" i="15"/>
  <c r="AT31" i="15"/>
  <c r="AB31" i="15"/>
  <c r="AB52" i="15"/>
  <c r="BC31" i="15"/>
  <c r="BC52" i="15"/>
  <c r="V9" i="34"/>
  <c r="P48" i="51" s="1"/>
  <c r="AH10" i="28"/>
  <c r="AB6" i="51" s="1"/>
  <c r="O14" i="28"/>
  <c r="BP48" i="15"/>
  <c r="BP33" i="15"/>
  <c r="BP11" i="14"/>
  <c r="BP13" i="14" s="1"/>
  <c r="BP20" i="14"/>
  <c r="BP10" i="28" s="1"/>
  <c r="BJ6" i="51" s="1"/>
  <c r="Z16" i="19"/>
  <c r="Z17" i="19" s="1"/>
  <c r="Z20" i="15"/>
  <c r="Z42" i="15"/>
  <c r="Z25" i="11"/>
  <c r="AY10" i="28"/>
  <c r="AS6" i="51" s="1"/>
  <c r="W10" i="29"/>
  <c r="Z20" i="14"/>
  <c r="Z48" i="15"/>
  <c r="Z33" i="15"/>
  <c r="Z11" i="14"/>
  <c r="Z13" i="14" s="1"/>
  <c r="AD33" i="15"/>
  <c r="AD11" i="14"/>
  <c r="AD13" i="14" s="1"/>
  <c r="AD20" i="14"/>
  <c r="AD10" i="28" s="1"/>
  <c r="AD48" i="15"/>
  <c r="Y13" i="28"/>
  <c r="S31" i="15"/>
  <c r="S52" i="15"/>
  <c r="S9" i="34" s="1"/>
  <c r="M48" i="51" s="1"/>
  <c r="Y52" i="15"/>
  <c r="Y31" i="15"/>
  <c r="Y29" i="18"/>
  <c r="Y14" i="18"/>
  <c r="AS48" i="15"/>
  <c r="AS11" i="14"/>
  <c r="AS13" i="14" s="1"/>
  <c r="AS33" i="15"/>
  <c r="AS20" i="14"/>
  <c r="AS10" i="28" s="1"/>
  <c r="AM6" i="51" s="1"/>
  <c r="AP20" i="14"/>
  <c r="AP10" i="28" s="1"/>
  <c r="AJ6" i="51" s="1"/>
  <c r="AP48" i="15"/>
  <c r="AP11" i="14"/>
  <c r="AP13" i="14" s="1"/>
  <c r="AP33" i="15"/>
  <c r="BQ48" i="15"/>
  <c r="BQ33" i="15"/>
  <c r="BQ11" i="14"/>
  <c r="BQ13" i="14" s="1"/>
  <c r="BQ20" i="14"/>
  <c r="AC10" i="29" s="1"/>
  <c r="BL10" i="19"/>
  <c r="BL50" i="15"/>
  <c r="BL51" i="15" s="1"/>
  <c r="BL35" i="15"/>
  <c r="AM10" i="19"/>
  <c r="AM50" i="15"/>
  <c r="AM35" i="15"/>
  <c r="X10" i="28"/>
  <c r="Z16" i="37"/>
  <c r="Z63" i="12"/>
  <c r="Z65" i="12" s="1"/>
  <c r="Z71" i="12"/>
  <c r="Z73" i="12" s="1"/>
  <c r="AY10" i="19"/>
  <c r="AY50" i="15"/>
  <c r="AY51" i="15" s="1"/>
  <c r="AY35" i="15"/>
  <c r="U11" i="14"/>
  <c r="U13" i="14" s="1"/>
  <c r="U48" i="15"/>
  <c r="U20" i="14"/>
  <c r="U10" i="28" s="1"/>
  <c r="U33" i="15"/>
  <c r="N10" i="29"/>
  <c r="AC33" i="15"/>
  <c r="AC11" i="14"/>
  <c r="AC13" i="14" s="1"/>
  <c r="AC20" i="14"/>
  <c r="AC48" i="15"/>
  <c r="AE18" i="34"/>
  <c r="Y57" i="51" s="1"/>
  <c r="Y42" i="18"/>
  <c r="Y33" i="18"/>
  <c r="Y46" i="18"/>
  <c r="Y47" i="18" s="1"/>
  <c r="AR48" i="15"/>
  <c r="AR11" i="14"/>
  <c r="AR13" i="14" s="1"/>
  <c r="AR33" i="15"/>
  <c r="AR20" i="14"/>
  <c r="AR10" i="28" s="1"/>
  <c r="AL6" i="51" s="1"/>
  <c r="P14" i="28"/>
  <c r="P9" i="20"/>
  <c r="P10" i="20" s="1"/>
  <c r="AM10" i="28"/>
  <c r="AG6" i="51" s="1"/>
  <c r="S10" i="29"/>
  <c r="T33" i="15"/>
  <c r="T11" i="14"/>
  <c r="T13" i="14" s="1"/>
  <c r="T48" i="15"/>
  <c r="T20" i="14"/>
  <c r="P10" i="30"/>
  <c r="AQ10" i="28"/>
  <c r="AK6" i="51" s="1"/>
  <c r="S49" i="19"/>
  <c r="S30" i="19"/>
  <c r="O10" i="19"/>
  <c r="O11" i="19" s="1"/>
  <c r="O22" i="19" s="1"/>
  <c r="O23" i="19" s="1"/>
  <c r="O50" i="15"/>
  <c r="O51" i="15" s="1"/>
  <c r="O35" i="15"/>
  <c r="Z10" i="37"/>
  <c r="U26" i="49" s="1"/>
  <c r="Z24" i="12"/>
  <c r="Z26" i="12" s="1"/>
  <c r="Z31" i="12" s="1"/>
  <c r="Z33" i="12" s="1"/>
  <c r="AA20" i="10"/>
  <c r="BO10" i="28"/>
  <c r="BI6" i="51" s="1"/>
  <c r="X10" i="19"/>
  <c r="X11" i="19" s="1"/>
  <c r="X22" i="19" s="1"/>
  <c r="X23" i="19" s="1"/>
  <c r="X35" i="15"/>
  <c r="X50" i="15"/>
  <c r="P31" i="15"/>
  <c r="P52" i="15"/>
  <c r="AA14" i="16"/>
  <c r="AA28" i="16"/>
  <c r="Y39" i="16"/>
  <c r="Y40" i="16" s="1"/>
  <c r="BB11" i="14"/>
  <c r="BB13" i="14" s="1"/>
  <c r="BB48" i="15"/>
  <c r="BB20" i="14"/>
  <c r="BB10" i="28" s="1"/>
  <c r="AV6" i="51" s="1"/>
  <c r="BB33" i="15"/>
  <c r="AQ10" i="19"/>
  <c r="AQ50" i="15"/>
  <c r="AQ51" i="15" s="1"/>
  <c r="AQ35" i="15"/>
  <c r="AN10" i="28"/>
  <c r="AH6" i="51" s="1"/>
  <c r="K18" i="14"/>
  <c r="K19" i="14" s="1"/>
  <c r="L226" i="6"/>
  <c r="L18" i="14" s="1"/>
  <c r="L19" i="14" s="1"/>
  <c r="AO33" i="15"/>
  <c r="AO20" i="14"/>
  <c r="AO10" i="28" s="1"/>
  <c r="AI6" i="51" s="1"/>
  <c r="AO48" i="15"/>
  <c r="AO11" i="14"/>
  <c r="AO13" i="14" s="1"/>
  <c r="AA48" i="15"/>
  <c r="AA33" i="15"/>
  <c r="AA11" i="14"/>
  <c r="AA13" i="14" s="1"/>
  <c r="AA20" i="14"/>
  <c r="AA10" i="28" s="1"/>
  <c r="BL10" i="28"/>
  <c r="BF6" i="51" s="1"/>
  <c r="W30" i="19"/>
  <c r="W49" i="19"/>
  <c r="AE31" i="15"/>
  <c r="AE52" i="15"/>
  <c r="BO10" i="19"/>
  <c r="BO35" i="15"/>
  <c r="BO50" i="15"/>
  <c r="BO51" i="15" s="1"/>
  <c r="BI52" i="15"/>
  <c r="BI31" i="15"/>
  <c r="S14" i="28"/>
  <c r="S9" i="20"/>
  <c r="S10" i="20" s="1"/>
  <c r="N82" i="20"/>
  <c r="P49" i="19"/>
  <c r="P30" i="19"/>
  <c r="AM51" i="15"/>
  <c r="AG20" i="14"/>
  <c r="AG10" i="28" s="1"/>
  <c r="AG48" i="15"/>
  <c r="AG33" i="15"/>
  <c r="AG11" i="14"/>
  <c r="AG13" i="14" s="1"/>
  <c r="BK48" i="15"/>
  <c r="BK33" i="15"/>
  <c r="BK20" i="14"/>
  <c r="BK10" i="28" s="1"/>
  <c r="BE6" i="51" s="1"/>
  <c r="BK11" i="14"/>
  <c r="BK13" i="14" s="1"/>
  <c r="BG31" i="15"/>
  <c r="BG52" i="15"/>
  <c r="BG9" i="34" s="1"/>
  <c r="BA48" i="51" s="1"/>
  <c r="AH10" i="19"/>
  <c r="AH35" i="15"/>
  <c r="AH50" i="15"/>
  <c r="AH51" i="15" s="1"/>
  <c r="N49" i="19"/>
  <c r="N30" i="19"/>
  <c r="BA11" i="14"/>
  <c r="BA13" i="14" s="1"/>
  <c r="BA48" i="15"/>
  <c r="BA20" i="14"/>
  <c r="BA33" i="15"/>
  <c r="BH10" i="19"/>
  <c r="BH50" i="15"/>
  <c r="BH51" i="15" s="1"/>
  <c r="BH35" i="15"/>
  <c r="J20" i="14"/>
  <c r="J48" i="15"/>
  <c r="J11" i="14"/>
  <c r="J13" i="14" s="1"/>
  <c r="J33" i="15"/>
  <c r="AV10" i="19"/>
  <c r="AV50" i="15"/>
  <c r="AV51" i="15" s="1"/>
  <c r="AV35" i="15"/>
  <c r="BN20" i="14"/>
  <c r="BN10" i="28" s="1"/>
  <c r="BH6" i="51" s="1"/>
  <c r="BN48" i="15"/>
  <c r="BN33" i="15"/>
  <c r="BN11" i="14"/>
  <c r="BN13" i="14" s="1"/>
  <c r="V19" i="28"/>
  <c r="AF11" i="14"/>
  <c r="AF13" i="14" s="1"/>
  <c r="AF20" i="14"/>
  <c r="AF48" i="15"/>
  <c r="AF33" i="15"/>
  <c r="BJ33" i="15"/>
  <c r="BJ11" i="14"/>
  <c r="BJ13" i="14" s="1"/>
  <c r="BJ20" i="14"/>
  <c r="BJ48" i="15"/>
  <c r="R20" i="14"/>
  <c r="R10" i="28" s="1"/>
  <c r="R33" i="15"/>
  <c r="R11" i="14"/>
  <c r="R13" i="14" s="1"/>
  <c r="R48" i="15"/>
  <c r="AJ48" i="15"/>
  <c r="AJ33" i="15"/>
  <c r="AJ11" i="14"/>
  <c r="AJ13" i="14" s="1"/>
  <c r="AJ20" i="14"/>
  <c r="AJ10" i="28" s="1"/>
  <c r="AD6" i="51" s="1"/>
  <c r="AX31" i="15"/>
  <c r="AX52" i="15"/>
  <c r="AX9" i="34" s="1"/>
  <c r="AR48" i="51" s="1"/>
  <c r="Y30" i="19"/>
  <c r="Y49" i="19"/>
  <c r="BE20" i="14"/>
  <c r="BE10" i="28" s="1"/>
  <c r="AY6" i="51" s="1"/>
  <c r="BE48" i="15"/>
  <c r="BE33" i="15"/>
  <c r="BE11" i="14"/>
  <c r="BE13" i="14" s="1"/>
  <c r="AN10" i="19"/>
  <c r="AN50" i="15"/>
  <c r="AN51" i="15" s="1"/>
  <c r="AN35" i="15"/>
  <c r="Y46" i="17"/>
  <c r="Y47" i="17" s="1"/>
  <c r="Y42" i="17"/>
  <c r="Y33" i="17"/>
  <c r="BM20" i="14"/>
  <c r="BM10" i="28" s="1"/>
  <c r="BG6" i="51" s="1"/>
  <c r="BM48" i="15"/>
  <c r="BM33" i="15"/>
  <c r="BM11" i="14"/>
  <c r="BM13" i="14" s="1"/>
  <c r="Y14" i="28"/>
  <c r="Y9" i="20"/>
  <c r="Y10" i="20" s="1"/>
  <c r="Q48" i="15"/>
  <c r="Q20" i="14"/>
  <c r="Q10" i="28" s="1"/>
  <c r="Q33" i="15"/>
  <c r="Q11" i="14"/>
  <c r="Q13" i="14" s="1"/>
  <c r="AI48" i="15"/>
  <c r="AI33" i="15"/>
  <c r="AI11" i="14"/>
  <c r="AI13" i="14" s="1"/>
  <c r="AI20" i="14"/>
  <c r="AI10" i="28" s="1"/>
  <c r="AC6" i="51" s="1"/>
  <c r="BD11" i="14"/>
  <c r="BD13" i="14" s="1"/>
  <c r="BD20" i="14"/>
  <c r="BD48" i="15"/>
  <c r="BD33" i="15"/>
  <c r="K11" i="29"/>
  <c r="Y34" i="13"/>
  <c r="Y9" i="31" s="1"/>
  <c r="S24" i="51" s="1"/>
  <c r="Z29" i="13"/>
  <c r="AK9" i="34"/>
  <c r="AE48" i="51" s="1"/>
  <c r="N20" i="20" l="1"/>
  <c r="N21" i="20" s="1"/>
  <c r="N34" i="20" s="1"/>
  <c r="Q15" i="49"/>
  <c r="P15" i="51"/>
  <c r="I10" i="51"/>
  <c r="J14" i="49"/>
  <c r="P10" i="51"/>
  <c r="Q14" i="49"/>
  <c r="I7" i="51"/>
  <c r="J13" i="49"/>
  <c r="AA6" i="51"/>
  <c r="AB19" i="49"/>
  <c r="AB10" i="29"/>
  <c r="O6" i="51"/>
  <c r="P19" i="49"/>
  <c r="M7" i="51"/>
  <c r="N13" i="49"/>
  <c r="AW52" i="15"/>
  <c r="AW9" i="34" s="1"/>
  <c r="AQ48" i="51" s="1"/>
  <c r="AW31" i="15"/>
  <c r="J10" i="51"/>
  <c r="K14" i="49"/>
  <c r="R6" i="51"/>
  <c r="S19" i="49"/>
  <c r="K6" i="51"/>
  <c r="L19" i="49"/>
  <c r="V19" i="49"/>
  <c r="U6" i="51"/>
  <c r="S10" i="51"/>
  <c r="T14" i="49"/>
  <c r="H19" i="14"/>
  <c r="S9" i="51"/>
  <c r="T20" i="49"/>
  <c r="T10" i="29"/>
  <c r="Q7" i="51"/>
  <c r="R13" i="49"/>
  <c r="X6" i="51"/>
  <c r="Y19" i="49"/>
  <c r="G7" i="51"/>
  <c r="H13" i="49"/>
  <c r="H15" i="51"/>
  <c r="I15" i="49"/>
  <c r="H10" i="51"/>
  <c r="I14" i="49"/>
  <c r="S7" i="51"/>
  <c r="T13" i="49"/>
  <c r="L6" i="51"/>
  <c r="M19" i="49"/>
  <c r="M10" i="51"/>
  <c r="N14" i="49"/>
  <c r="O9" i="20"/>
  <c r="O10" i="20" s="1"/>
  <c r="J7" i="51"/>
  <c r="K13" i="49"/>
  <c r="M31" i="15"/>
  <c r="M52" i="15"/>
  <c r="M9" i="34" s="1"/>
  <c r="G48" i="51" s="1"/>
  <c r="S19" i="28"/>
  <c r="X11" i="28"/>
  <c r="X9" i="20" s="1"/>
  <c r="X10" i="20" s="1"/>
  <c r="V20" i="20"/>
  <c r="V21" i="20" s="1"/>
  <c r="V34" i="20" s="1"/>
  <c r="M30" i="19"/>
  <c r="M49" i="19"/>
  <c r="X51" i="15"/>
  <c r="X52" i="15" s="1"/>
  <c r="O19" i="28"/>
  <c r="M9" i="20"/>
  <c r="M10" i="20" s="1"/>
  <c r="M14" i="28"/>
  <c r="R11" i="28"/>
  <c r="U11" i="28"/>
  <c r="U9" i="20" s="1"/>
  <c r="U10" i="20" s="1"/>
  <c r="W14" i="28"/>
  <c r="W9" i="20"/>
  <c r="W10" i="20" s="1"/>
  <c r="Q11" i="28"/>
  <c r="K10" i="23"/>
  <c r="E6" i="50" s="1"/>
  <c r="U10" i="29"/>
  <c r="BL31" i="15"/>
  <c r="BL52" i="15"/>
  <c r="X31" i="15"/>
  <c r="AN31" i="15"/>
  <c r="AN52" i="15"/>
  <c r="BO52" i="15"/>
  <c r="BO31" i="15"/>
  <c r="AV31" i="15"/>
  <c r="AV52" i="15"/>
  <c r="AV9" i="34" s="1"/>
  <c r="AP48" i="51" s="1"/>
  <c r="BH31" i="15"/>
  <c r="BH52" i="15"/>
  <c r="BH9" i="34" s="1"/>
  <c r="BB48" i="51" s="1"/>
  <c r="BJ10" i="19"/>
  <c r="BJ50" i="15"/>
  <c r="BJ51" i="15" s="1"/>
  <c r="BJ35" i="15"/>
  <c r="BE10" i="19"/>
  <c r="BE50" i="15"/>
  <c r="BE51" i="15" s="1"/>
  <c r="BE35" i="15"/>
  <c r="Q10" i="19"/>
  <c r="Q11" i="19" s="1"/>
  <c r="Q22" i="19" s="1"/>
  <c r="Q23" i="19" s="1"/>
  <c r="Q50" i="15"/>
  <c r="Q51" i="15" s="1"/>
  <c r="Q35" i="15"/>
  <c r="BJ10" i="28"/>
  <c r="BD6" i="51" s="1"/>
  <c r="AA10" i="29"/>
  <c r="N10" i="23"/>
  <c r="H6" i="50" s="1"/>
  <c r="R10" i="30"/>
  <c r="V25" i="20"/>
  <c r="V39" i="20"/>
  <c r="AY31" i="15"/>
  <c r="AY52" i="15"/>
  <c r="AY9" i="34" s="1"/>
  <c r="AS48" i="51" s="1"/>
  <c r="O10" i="30"/>
  <c r="P9" i="34"/>
  <c r="J48" i="51" s="1"/>
  <c r="AA28" i="10"/>
  <c r="AS10" i="19"/>
  <c r="AS50" i="15"/>
  <c r="AS51" i="15" s="1"/>
  <c r="AS35" i="15"/>
  <c r="W9" i="35"/>
  <c r="BP10" i="19"/>
  <c r="BP50" i="15"/>
  <c r="BP51" i="15" s="1"/>
  <c r="BP35" i="15"/>
  <c r="AB9" i="34"/>
  <c r="V48" i="51" s="1"/>
  <c r="BB10" i="19"/>
  <c r="BB50" i="15"/>
  <c r="BB51" i="15" s="1"/>
  <c r="BB35" i="15"/>
  <c r="Z11" i="37"/>
  <c r="Z20" i="17"/>
  <c r="Z22" i="17" s="1"/>
  <c r="Z13" i="15"/>
  <c r="Z14" i="15" s="1"/>
  <c r="Z39" i="12"/>
  <c r="AF41" i="12" s="1"/>
  <c r="Z48" i="12"/>
  <c r="Z50" i="12" s="1"/>
  <c r="Z21" i="13"/>
  <c r="Z24" i="13" s="1"/>
  <c r="Z17" i="9"/>
  <c r="Z18" i="9" s="1"/>
  <c r="AR10" i="19"/>
  <c r="AR35" i="15"/>
  <c r="AR50" i="15"/>
  <c r="AR51" i="15" s="1"/>
  <c r="BD10" i="19"/>
  <c r="BD35" i="15"/>
  <c r="BD50" i="15"/>
  <c r="BD51" i="15" s="1"/>
  <c r="Q9" i="20"/>
  <c r="Q10" i="20" s="1"/>
  <c r="V82" i="20"/>
  <c r="BI9" i="34"/>
  <c r="BC48" i="51" s="1"/>
  <c r="S10" i="30"/>
  <c r="AD10" i="19"/>
  <c r="AD50" i="15"/>
  <c r="AD51" i="15" s="1"/>
  <c r="AD35" i="15"/>
  <c r="Y32" i="16"/>
  <c r="Y45" i="16"/>
  <c r="Y46" i="16" s="1"/>
  <c r="Y41" i="16"/>
  <c r="Y48" i="18"/>
  <c r="Y34" i="18"/>
  <c r="Y35" i="18" s="1"/>
  <c r="Y13" i="18" s="1"/>
  <c r="Y15" i="18" s="1"/>
  <c r="Z17" i="37"/>
  <c r="U29" i="49" s="1"/>
  <c r="AA70" i="12"/>
  <c r="Z17" i="11"/>
  <c r="Z18" i="11" s="1"/>
  <c r="AP10" i="19"/>
  <c r="AP50" i="15"/>
  <c r="AP35" i="15"/>
  <c r="Y22" i="34"/>
  <c r="S61" i="51" s="1"/>
  <c r="O14" i="20"/>
  <c r="O15" i="20" s="1"/>
  <c r="O20" i="20"/>
  <c r="O21" i="20" s="1"/>
  <c r="O34" i="20" s="1"/>
  <c r="AT9" i="34"/>
  <c r="AN48" i="51" s="1"/>
  <c r="BF9" i="34"/>
  <c r="AZ48" i="51" s="1"/>
  <c r="R10" i="19"/>
  <c r="R11" i="19" s="1"/>
  <c r="R22" i="19" s="1"/>
  <c r="R23" i="19" s="1"/>
  <c r="R50" i="15"/>
  <c r="R51" i="15" s="1"/>
  <c r="R35" i="15"/>
  <c r="AG10" i="19"/>
  <c r="AG50" i="15"/>
  <c r="AG51" i="15" s="1"/>
  <c r="AG35" i="15"/>
  <c r="AH31" i="15"/>
  <c r="AH52" i="15"/>
  <c r="J10" i="19"/>
  <c r="J11" i="19" s="1"/>
  <c r="J50" i="15"/>
  <c r="J35" i="15"/>
  <c r="BA10" i="28"/>
  <c r="AU6" i="51" s="1"/>
  <c r="Q10" i="30"/>
  <c r="X10" i="29"/>
  <c r="AA20" i="34"/>
  <c r="U59" i="51" s="1"/>
  <c r="O20" i="35"/>
  <c r="L20" i="36"/>
  <c r="X49" i="19"/>
  <c r="X30" i="19"/>
  <c r="U10" i="19"/>
  <c r="U11" i="19" s="1"/>
  <c r="U22" i="19" s="1"/>
  <c r="U23" i="19" s="1"/>
  <c r="U50" i="15"/>
  <c r="U51" i="15" s="1"/>
  <c r="U35" i="15"/>
  <c r="Z15" i="37"/>
  <c r="U28" i="49" s="1"/>
  <c r="AA60" i="12"/>
  <c r="AP51" i="15"/>
  <c r="Z10" i="19"/>
  <c r="Z50" i="15"/>
  <c r="Z51" i="15" s="1"/>
  <c r="Z35" i="15"/>
  <c r="O82" i="20"/>
  <c r="BD10" i="28"/>
  <c r="AX6" i="51" s="1"/>
  <c r="Y10" i="29"/>
  <c r="AF10" i="28"/>
  <c r="Q10" i="29"/>
  <c r="J51" i="15"/>
  <c r="O52" i="15"/>
  <c r="O31" i="15"/>
  <c r="O49" i="19"/>
  <c r="O30" i="19"/>
  <c r="T10" i="28"/>
  <c r="M10" i="29"/>
  <c r="P20" i="20"/>
  <c r="P21" i="20" s="1"/>
  <c r="P34" i="20" s="1"/>
  <c r="P14" i="20"/>
  <c r="P15" i="20" s="1"/>
  <c r="Y18" i="28"/>
  <c r="AC10" i="28"/>
  <c r="P10" i="29"/>
  <c r="M10" i="30"/>
  <c r="Y9" i="34"/>
  <c r="S48" i="51" s="1"/>
  <c r="Z21" i="19"/>
  <c r="Z43" i="15"/>
  <c r="Z45" i="15" s="1"/>
  <c r="Z21" i="15"/>
  <c r="AB22" i="15" s="1"/>
  <c r="L10" i="23"/>
  <c r="F6" i="50" s="1"/>
  <c r="BM10" i="19"/>
  <c r="BM50" i="15"/>
  <c r="BM51" i="15" s="1"/>
  <c r="BM35" i="15"/>
  <c r="AI10" i="19"/>
  <c r="AI35" i="15"/>
  <c r="AI50" i="15"/>
  <c r="AI51" i="15" s="1"/>
  <c r="Y16" i="28"/>
  <c r="AF10" i="19"/>
  <c r="AF50" i="15"/>
  <c r="AF51" i="15" s="1"/>
  <c r="AF35" i="15"/>
  <c r="H11" i="14"/>
  <c r="H33" i="15"/>
  <c r="H48" i="15"/>
  <c r="BA10" i="19"/>
  <c r="BA50" i="15"/>
  <c r="BA51" i="15" s="1"/>
  <c r="BA35" i="15"/>
  <c r="S14" i="20"/>
  <c r="S15" i="20" s="1"/>
  <c r="S20" i="20"/>
  <c r="S21" i="20" s="1"/>
  <c r="S34" i="20" s="1"/>
  <c r="AE9" i="34"/>
  <c r="Y48" i="51" s="1"/>
  <c r="AA10" i="19"/>
  <c r="AA50" i="15"/>
  <c r="AA51" i="15" s="1"/>
  <c r="AA35" i="15"/>
  <c r="L48" i="15"/>
  <c r="L11" i="14"/>
  <c r="L13" i="14" s="1"/>
  <c r="L33" i="15"/>
  <c r="L20" i="14"/>
  <c r="L10" i="28" s="1"/>
  <c r="P19" i="28"/>
  <c r="AC10" i="19"/>
  <c r="AC50" i="15"/>
  <c r="AC51" i="15" s="1"/>
  <c r="AC35" i="15"/>
  <c r="L10" i="30"/>
  <c r="BQ10" i="28"/>
  <c r="BK6" i="51" s="1"/>
  <c r="L10" i="29"/>
  <c r="K10" i="29"/>
  <c r="K10" i="30"/>
  <c r="R10" i="29"/>
  <c r="BC9" i="34"/>
  <c r="AW48" i="51" s="1"/>
  <c r="AZ9" i="34"/>
  <c r="AT48" i="51" s="1"/>
  <c r="AM31" i="15"/>
  <c r="AM52" i="15"/>
  <c r="AO10" i="19"/>
  <c r="AO50" i="15"/>
  <c r="AO51" i="15" s="1"/>
  <c r="AO35" i="15"/>
  <c r="BN10" i="19"/>
  <c r="BN35" i="15"/>
  <c r="BN50" i="15"/>
  <c r="BN51" i="15" s="1"/>
  <c r="AQ31" i="15"/>
  <c r="AQ52" i="15"/>
  <c r="Y14" i="20"/>
  <c r="Y15" i="20" s="1"/>
  <c r="Y20" i="20"/>
  <c r="Y21" i="20" s="1"/>
  <c r="Y34" i="20" s="1"/>
  <c r="Y48" i="17"/>
  <c r="Y34" i="17"/>
  <c r="Y35" i="17" s="1"/>
  <c r="Y13" i="17" s="1"/>
  <c r="Y15" i="17" s="1"/>
  <c r="AJ10" i="19"/>
  <c r="AJ50" i="15"/>
  <c r="AJ51" i="15" s="1"/>
  <c r="AJ35" i="15"/>
  <c r="J10" i="28"/>
  <c r="M10" i="23"/>
  <c r="G6" i="50" s="1"/>
  <c r="BK10" i="19"/>
  <c r="BK50" i="15"/>
  <c r="BK51" i="15" s="1"/>
  <c r="BK35" i="15"/>
  <c r="S82" i="20"/>
  <c r="K48" i="15"/>
  <c r="K33" i="15"/>
  <c r="K11" i="14"/>
  <c r="K13" i="14" s="1"/>
  <c r="H13" i="14" s="1"/>
  <c r="K20" i="14"/>
  <c r="K10" i="28" s="1"/>
  <c r="N25" i="20"/>
  <c r="N39" i="20"/>
  <c r="T10" i="19"/>
  <c r="T11" i="19" s="1"/>
  <c r="T22" i="19" s="1"/>
  <c r="T23" i="19" s="1"/>
  <c r="T50" i="15"/>
  <c r="T51" i="15" s="1"/>
  <c r="T35" i="15"/>
  <c r="N11" i="29"/>
  <c r="BQ10" i="19"/>
  <c r="BQ50" i="15"/>
  <c r="BQ51" i="15" s="1"/>
  <c r="BQ35" i="15"/>
  <c r="Z10" i="28"/>
  <c r="O10" i="29"/>
  <c r="N10" i="30"/>
  <c r="V9" i="35" l="1"/>
  <c r="J15" i="51"/>
  <c r="K15" i="49"/>
  <c r="Q10" i="51"/>
  <c r="R14" i="49"/>
  <c r="F6" i="51"/>
  <c r="G19" i="49"/>
  <c r="O7" i="51"/>
  <c r="P13" i="49"/>
  <c r="L7" i="51"/>
  <c r="M13" i="49"/>
  <c r="F19" i="49"/>
  <c r="E6" i="51"/>
  <c r="N6" i="51"/>
  <c r="O19" i="49"/>
  <c r="D6" i="51"/>
  <c r="E19" i="49"/>
  <c r="G10" i="51"/>
  <c r="H14" i="49"/>
  <c r="M15" i="51"/>
  <c r="N15" i="49"/>
  <c r="Z6" i="51"/>
  <c r="AA19" i="49"/>
  <c r="I15" i="51"/>
  <c r="J15" i="49"/>
  <c r="S12" i="51"/>
  <c r="T21" i="49"/>
  <c r="W6" i="51"/>
  <c r="X19" i="49"/>
  <c r="T6" i="51"/>
  <c r="U19" i="49"/>
  <c r="S14" i="51"/>
  <c r="T23" i="49"/>
  <c r="K7" i="51"/>
  <c r="L13" i="49"/>
  <c r="R7" i="51"/>
  <c r="S13" i="49"/>
  <c r="X14" i="28"/>
  <c r="R9" i="20"/>
  <c r="R10" i="20" s="1"/>
  <c r="R20" i="20" s="1"/>
  <c r="R21" i="20" s="1"/>
  <c r="R34" i="20" s="1"/>
  <c r="R14" i="28"/>
  <c r="U14" i="28"/>
  <c r="J11" i="28"/>
  <c r="Q14" i="28"/>
  <c r="W20" i="20"/>
  <c r="W21" i="20" s="1"/>
  <c r="W34" i="20" s="1"/>
  <c r="W14" i="20"/>
  <c r="W15" i="20" s="1"/>
  <c r="L11" i="28"/>
  <c r="W19" i="28"/>
  <c r="Z9" i="35"/>
  <c r="M19" i="28"/>
  <c r="K14" i="29"/>
  <c r="T11" i="28"/>
  <c r="M14" i="20"/>
  <c r="M15" i="20" s="1"/>
  <c r="M20" i="20"/>
  <c r="M21" i="20" s="1"/>
  <c r="M34" i="20" s="1"/>
  <c r="K11" i="28"/>
  <c r="H20" i="14"/>
  <c r="H10" i="23" s="1"/>
  <c r="P9" i="36"/>
  <c r="BM52" i="15"/>
  <c r="BM9" i="34" s="1"/>
  <c r="BG48" i="51" s="1"/>
  <c r="BM31" i="15"/>
  <c r="BP52" i="15"/>
  <c r="BP9" i="34" s="1"/>
  <c r="BJ48" i="51" s="1"/>
  <c r="BP31" i="15"/>
  <c r="U52" i="15"/>
  <c r="U9" i="34" s="1"/>
  <c r="O48" i="51" s="1"/>
  <c r="U31" i="15"/>
  <c r="BA52" i="15"/>
  <c r="BA31" i="15"/>
  <c r="AI52" i="15"/>
  <c r="AI9" i="34" s="1"/>
  <c r="AC48" i="51" s="1"/>
  <c r="AI31" i="15"/>
  <c r="AC52" i="15"/>
  <c r="AC31" i="15"/>
  <c r="AS52" i="15"/>
  <c r="AS9" i="34" s="1"/>
  <c r="AM48" i="51" s="1"/>
  <c r="AS31" i="15"/>
  <c r="AO52" i="15"/>
  <c r="AO9" i="34" s="1"/>
  <c r="AI48" i="51" s="1"/>
  <c r="AO31" i="15"/>
  <c r="AR31" i="15"/>
  <c r="AR52" i="15"/>
  <c r="AR9" i="34" s="1"/>
  <c r="AL48" i="51" s="1"/>
  <c r="T31" i="15"/>
  <c r="T52" i="15"/>
  <c r="T9" i="34" s="1"/>
  <c r="N48" i="51" s="1"/>
  <c r="BN31" i="15"/>
  <c r="BN52" i="15"/>
  <c r="BN9" i="34" s="1"/>
  <c r="BH48" i="51" s="1"/>
  <c r="BQ52" i="15"/>
  <c r="AC9" i="35" s="1"/>
  <c r="BQ31" i="15"/>
  <c r="R31" i="15"/>
  <c r="R52" i="15"/>
  <c r="R9" i="34" s="1"/>
  <c r="L48" i="51" s="1"/>
  <c r="AD31" i="15"/>
  <c r="AD52" i="15"/>
  <c r="AD9" i="34" s="1"/>
  <c r="X48" i="51" s="1"/>
  <c r="H10" i="19"/>
  <c r="H50" i="15"/>
  <c r="H35" i="15"/>
  <c r="Y16" i="31"/>
  <c r="Z11" i="17"/>
  <c r="AF31" i="15"/>
  <c r="AF52" i="15"/>
  <c r="BD52" i="15"/>
  <c r="BD31" i="15"/>
  <c r="AA31" i="15"/>
  <c r="AA52" i="15"/>
  <c r="AA9" i="34" s="1"/>
  <c r="U48" i="51" s="1"/>
  <c r="Z10" i="31"/>
  <c r="T25" i="51" s="1"/>
  <c r="AA41" i="15"/>
  <c r="BK31" i="15"/>
  <c r="BK52" i="15"/>
  <c r="BK9" i="34" s="1"/>
  <c r="BE48" i="51" s="1"/>
  <c r="Y18" i="31"/>
  <c r="Z11" i="18"/>
  <c r="T49" i="19"/>
  <c r="T30" i="19"/>
  <c r="J10" i="30"/>
  <c r="Y23" i="34"/>
  <c r="S62" i="51" s="1"/>
  <c r="Z52" i="15"/>
  <c r="Z31" i="15"/>
  <c r="Z8" i="31"/>
  <c r="T23" i="51" s="1"/>
  <c r="AA20" i="13"/>
  <c r="BB31" i="15"/>
  <c r="BB52" i="15"/>
  <c r="BB9" i="34" s="1"/>
  <c r="AV48" i="51" s="1"/>
  <c r="Q30" i="19"/>
  <c r="Q49" i="19"/>
  <c r="AP31" i="15"/>
  <c r="AP52" i="15"/>
  <c r="AP9" i="34" s="1"/>
  <c r="AJ48" i="51" s="1"/>
  <c r="O39" i="20"/>
  <c r="O25" i="20"/>
  <c r="Q14" i="20"/>
  <c r="Q15" i="20" s="1"/>
  <c r="Q20" i="20"/>
  <c r="Q21" i="20" s="1"/>
  <c r="Q34" i="20" s="1"/>
  <c r="Z12" i="37"/>
  <c r="U27" i="49" s="1"/>
  <c r="AA47" i="12"/>
  <c r="Z12" i="13"/>
  <c r="Z13" i="13" s="1"/>
  <c r="BO9" i="34"/>
  <c r="BI48" i="51" s="1"/>
  <c r="Y39" i="20"/>
  <c r="Y25" i="20"/>
  <c r="Q52" i="15"/>
  <c r="Q9" i="34" s="1"/>
  <c r="K48" i="51" s="1"/>
  <c r="Q31" i="15"/>
  <c r="O9" i="34"/>
  <c r="I48" i="51" s="1"/>
  <c r="K9" i="35"/>
  <c r="AA27" i="10"/>
  <c r="AA29" i="10" s="1"/>
  <c r="Z8" i="28"/>
  <c r="Z19" i="16"/>
  <c r="Z21" i="16" s="1"/>
  <c r="Z26" i="11"/>
  <c r="Z27" i="11" s="1"/>
  <c r="Y25" i="34"/>
  <c r="S64" i="51" s="1"/>
  <c r="AF13" i="37"/>
  <c r="AF20" i="18"/>
  <c r="AF22" i="18" s="1"/>
  <c r="AF49" i="12"/>
  <c r="AF61" i="12"/>
  <c r="AN9" i="34"/>
  <c r="AH48" i="51" s="1"/>
  <c r="J14" i="28"/>
  <c r="J11" i="23"/>
  <c r="D7" i="50" s="1"/>
  <c r="J11" i="29"/>
  <c r="P82" i="20"/>
  <c r="P39" i="20"/>
  <c r="P25" i="20"/>
  <c r="AG52" i="15"/>
  <c r="AG9" i="34" s="1"/>
  <c r="AA48" i="51" s="1"/>
  <c r="AG31" i="15"/>
  <c r="Y17" i="28"/>
  <c r="U20" i="20"/>
  <c r="U21" i="20" s="1"/>
  <c r="U34" i="20" s="1"/>
  <c r="U14" i="20"/>
  <c r="U15" i="20" s="1"/>
  <c r="Z15" i="15"/>
  <c r="Z32" i="15"/>
  <c r="BE52" i="15"/>
  <c r="BE9" i="34" s="1"/>
  <c r="AY48" i="51" s="1"/>
  <c r="BE31" i="15"/>
  <c r="H10" i="28"/>
  <c r="J31" i="15"/>
  <c r="J36" i="15" s="1"/>
  <c r="J52" i="15"/>
  <c r="Y47" i="16"/>
  <c r="Y33" i="16"/>
  <c r="Y34" i="16" s="1"/>
  <c r="Y13" i="16" s="1"/>
  <c r="Y15" i="16" s="1"/>
  <c r="Z17" i="34"/>
  <c r="T56" i="51" s="1"/>
  <c r="Z12" i="17"/>
  <c r="Z27" i="17"/>
  <c r="AF28" i="17" s="1"/>
  <c r="BJ31" i="15"/>
  <c r="BJ52" i="15"/>
  <c r="X20" i="20"/>
  <c r="X21" i="20" s="1"/>
  <c r="X34" i="20" s="1"/>
  <c r="X14" i="20"/>
  <c r="X15" i="20" s="1"/>
  <c r="K10" i="19"/>
  <c r="K11" i="19" s="1"/>
  <c r="K22" i="19" s="1"/>
  <c r="K23" i="19" s="1"/>
  <c r="K50" i="15"/>
  <c r="K51" i="15" s="1"/>
  <c r="K35" i="15"/>
  <c r="AQ9" i="34"/>
  <c r="AK48" i="51" s="1"/>
  <c r="AM9" i="34"/>
  <c r="AG48" i="51" s="1"/>
  <c r="S9" i="35"/>
  <c r="L14" i="28"/>
  <c r="L9" i="20"/>
  <c r="L10" i="20" s="1"/>
  <c r="R14" i="20"/>
  <c r="R15" i="20" s="1"/>
  <c r="AB8" i="34"/>
  <c r="V47" i="51" s="1"/>
  <c r="AB44" i="15"/>
  <c r="J22" i="19"/>
  <c r="J23" i="19" s="1"/>
  <c r="X9" i="34"/>
  <c r="R48" i="51" s="1"/>
  <c r="N9" i="35"/>
  <c r="X19" i="28"/>
  <c r="N14" i="29"/>
  <c r="J10" i="29"/>
  <c r="T14" i="28"/>
  <c r="T9" i="20"/>
  <c r="T10" i="20" s="1"/>
  <c r="U30" i="19"/>
  <c r="U49" i="19"/>
  <c r="R49" i="19"/>
  <c r="R30" i="19"/>
  <c r="BL9" i="34"/>
  <c r="BF48" i="51" s="1"/>
  <c r="J10" i="23"/>
  <c r="D6" i="50" s="1"/>
  <c r="AJ52" i="15"/>
  <c r="AJ9" i="34" s="1"/>
  <c r="AD48" i="51" s="1"/>
  <c r="AJ31" i="15"/>
  <c r="L10" i="19"/>
  <c r="L11" i="19" s="1"/>
  <c r="L22" i="19" s="1"/>
  <c r="L23" i="19" s="1"/>
  <c r="L35" i="15"/>
  <c r="L50" i="15"/>
  <c r="L51" i="15" s="1"/>
  <c r="S25" i="20"/>
  <c r="S39" i="20"/>
  <c r="AH9" i="34"/>
  <c r="AB48" i="51" s="1"/>
  <c r="R9" i="35"/>
  <c r="Z29" i="15"/>
  <c r="Z10" i="12"/>
  <c r="Z11" i="12" s="1"/>
  <c r="U9" i="35" l="1"/>
  <c r="O10" i="51"/>
  <c r="P14" i="49"/>
  <c r="K9" i="25"/>
  <c r="E48" i="50" s="1"/>
  <c r="Q15" i="51"/>
  <c r="R15" i="49"/>
  <c r="D10" i="51"/>
  <c r="E14" i="49"/>
  <c r="F7" i="51"/>
  <c r="G13" i="49"/>
  <c r="L10" i="51"/>
  <c r="M14" i="49"/>
  <c r="L9" i="36"/>
  <c r="F10" i="51"/>
  <c r="G14" i="49"/>
  <c r="T4" i="51"/>
  <c r="U12" i="49"/>
  <c r="S33" i="51"/>
  <c r="T10" i="49"/>
  <c r="R10" i="51"/>
  <c r="S14" i="49"/>
  <c r="R15" i="51"/>
  <c r="S15" i="49"/>
  <c r="U19" i="28"/>
  <c r="S13" i="51"/>
  <c r="T22" i="49"/>
  <c r="AB9" i="35"/>
  <c r="N7" i="51"/>
  <c r="O13" i="49"/>
  <c r="K10" i="51"/>
  <c r="L14" i="49"/>
  <c r="H10" i="29"/>
  <c r="E7" i="51"/>
  <c r="F13" i="49"/>
  <c r="N10" i="51"/>
  <c r="O14" i="49"/>
  <c r="K9" i="20"/>
  <c r="K10" i="20" s="1"/>
  <c r="R19" i="28"/>
  <c r="H10" i="30"/>
  <c r="K14" i="28"/>
  <c r="J14" i="29" s="1"/>
  <c r="S31" i="51"/>
  <c r="T9" i="49"/>
  <c r="G15" i="51"/>
  <c r="H15" i="49"/>
  <c r="D7" i="51"/>
  <c r="E13" i="49"/>
  <c r="Q19" i="28"/>
  <c r="L14" i="29"/>
  <c r="T19" i="28"/>
  <c r="T82" i="20" s="1"/>
  <c r="M82" i="20"/>
  <c r="K19" i="29"/>
  <c r="W82" i="20"/>
  <c r="S9" i="36"/>
  <c r="J11" i="30"/>
  <c r="Y19" i="28"/>
  <c r="K19" i="28"/>
  <c r="Z11" i="28"/>
  <c r="Z9" i="20" s="1"/>
  <c r="Z10" i="20" s="1"/>
  <c r="L19" i="28"/>
  <c r="J9" i="20"/>
  <c r="J10" i="20" s="1"/>
  <c r="J14" i="20" s="1"/>
  <c r="J15" i="20" s="1"/>
  <c r="M39" i="20"/>
  <c r="M25" i="20"/>
  <c r="T9" i="35"/>
  <c r="W25" i="20"/>
  <c r="W39" i="20"/>
  <c r="J15" i="31"/>
  <c r="D30" i="51" s="1"/>
  <c r="K28" i="15"/>
  <c r="K31" i="15"/>
  <c r="K52" i="15"/>
  <c r="K9" i="34" s="1"/>
  <c r="E48" i="51" s="1"/>
  <c r="H51" i="15"/>
  <c r="H31" i="15" s="1"/>
  <c r="Y82" i="20"/>
  <c r="Z9" i="19"/>
  <c r="Z11" i="19" s="1"/>
  <c r="Z22" i="19" s="1"/>
  <c r="Z23" i="19" s="1"/>
  <c r="Z30" i="15"/>
  <c r="J49" i="19"/>
  <c r="J51" i="19" s="1"/>
  <c r="J30" i="19"/>
  <c r="J32" i="19" s="1"/>
  <c r="R25" i="20"/>
  <c r="R39" i="20"/>
  <c r="Y24" i="34"/>
  <c r="S63" i="51" s="1"/>
  <c r="Z14" i="31"/>
  <c r="T29" i="51" s="1"/>
  <c r="AA24" i="11"/>
  <c r="AA25" i="12"/>
  <c r="Z9" i="34"/>
  <c r="T48" i="51" s="1"/>
  <c r="O9" i="35"/>
  <c r="BA9" i="34"/>
  <c r="AU48" i="51" s="1"/>
  <c r="M9" i="25"/>
  <c r="G48" i="50" s="1"/>
  <c r="X9" i="35"/>
  <c r="Q9" i="36"/>
  <c r="L20" i="20"/>
  <c r="L21" i="20" s="1"/>
  <c r="L34" i="20" s="1"/>
  <c r="L14" i="20"/>
  <c r="L15" i="20" s="1"/>
  <c r="K30" i="19"/>
  <c r="K49" i="19"/>
  <c r="Z19" i="34"/>
  <c r="T58" i="51" s="1"/>
  <c r="Z12" i="16"/>
  <c r="Z26" i="16"/>
  <c r="AB27" i="16" s="1"/>
  <c r="Z27" i="18"/>
  <c r="Z28" i="18" s="1"/>
  <c r="Z40" i="18"/>
  <c r="Z41" i="18" s="1"/>
  <c r="T20" i="20"/>
  <c r="T21" i="20" s="1"/>
  <c r="T34" i="20" s="1"/>
  <c r="T14" i="20"/>
  <c r="T15" i="20" s="1"/>
  <c r="L82" i="20"/>
  <c r="X39" i="20"/>
  <c r="X25" i="20"/>
  <c r="AF14" i="17"/>
  <c r="AF29" i="17"/>
  <c r="J9" i="34"/>
  <c r="D48" i="51" s="1"/>
  <c r="BD9" i="34"/>
  <c r="AX48" i="51" s="1"/>
  <c r="Y9" i="35"/>
  <c r="N9" i="36"/>
  <c r="L30" i="19"/>
  <c r="L49" i="19"/>
  <c r="L9" i="25"/>
  <c r="F48" i="50" s="1"/>
  <c r="Z14" i="34"/>
  <c r="T53" i="51" s="1"/>
  <c r="J19" i="28"/>
  <c r="J14" i="30"/>
  <c r="J14" i="23"/>
  <c r="D10" i="50" s="1"/>
  <c r="Q39" i="20"/>
  <c r="Q25" i="20"/>
  <c r="AF9" i="34"/>
  <c r="Z48" i="51" s="1"/>
  <c r="Q9" i="35"/>
  <c r="U25" i="20"/>
  <c r="U39" i="20"/>
  <c r="K20" i="20"/>
  <c r="K21" i="20" s="1"/>
  <c r="K34" i="20" s="1"/>
  <c r="K14" i="20"/>
  <c r="K15" i="20" s="1"/>
  <c r="AA53" i="12"/>
  <c r="AA54" i="12" s="1"/>
  <c r="AA11" i="11"/>
  <c r="AA12" i="11" s="1"/>
  <c r="AA23" i="10"/>
  <c r="AA24" i="10" s="1"/>
  <c r="AA11" i="13"/>
  <c r="AC9" i="34"/>
  <c r="W48" i="51" s="1"/>
  <c r="M9" i="36"/>
  <c r="P9" i="35"/>
  <c r="BJ9" i="34"/>
  <c r="BD48" i="51" s="1"/>
  <c r="N9" i="25"/>
  <c r="H48" i="50" s="1"/>
  <c r="AA9" i="35"/>
  <c r="R9" i="36"/>
  <c r="K82" i="20"/>
  <c r="O9" i="36"/>
  <c r="AF21" i="34"/>
  <c r="Z60" i="51" s="1"/>
  <c r="AF12" i="18"/>
  <c r="Z40" i="17"/>
  <c r="Z41" i="17" s="1"/>
  <c r="L31" i="15"/>
  <c r="L52" i="15"/>
  <c r="L9" i="34" s="1"/>
  <c r="F48" i="51" s="1"/>
  <c r="X82" i="20"/>
  <c r="N19" i="29"/>
  <c r="Y17" i="31"/>
  <c r="Z11" i="16"/>
  <c r="Z30" i="13"/>
  <c r="Z33" i="13" s="1"/>
  <c r="Z14" i="13"/>
  <c r="BQ9" i="34"/>
  <c r="BK48" i="51" s="1"/>
  <c r="K9" i="36"/>
  <c r="M9" i="35"/>
  <c r="L9" i="35"/>
  <c r="N15" i="51" l="1"/>
  <c r="O15" i="49"/>
  <c r="D15" i="51"/>
  <c r="E15" i="49"/>
  <c r="E15" i="51"/>
  <c r="F15" i="49"/>
  <c r="E10" i="51"/>
  <c r="F14" i="49"/>
  <c r="O15" i="51"/>
  <c r="P15" i="49"/>
  <c r="U82" i="20"/>
  <c r="T7" i="51"/>
  <c r="U13" i="49"/>
  <c r="M19" i="29"/>
  <c r="S15" i="51"/>
  <c r="T15" i="49"/>
  <c r="K15" i="51"/>
  <c r="L15" i="49"/>
  <c r="L15" i="51"/>
  <c r="M15" i="49"/>
  <c r="R82" i="20"/>
  <c r="S32" i="51"/>
  <c r="T8" i="49"/>
  <c r="F15" i="51"/>
  <c r="G15" i="49"/>
  <c r="J12" i="34"/>
  <c r="D51" i="51" s="1"/>
  <c r="L19" i="29"/>
  <c r="Q82" i="20"/>
  <c r="J20" i="20"/>
  <c r="J21" i="20" s="1"/>
  <c r="K19" i="30"/>
  <c r="Z42" i="17"/>
  <c r="Z33" i="17"/>
  <c r="Z46" i="17"/>
  <c r="Z47" i="17" s="1"/>
  <c r="J9" i="25"/>
  <c r="D48" i="50" s="1"/>
  <c r="J25" i="20"/>
  <c r="J27" i="20" s="1"/>
  <c r="J39" i="20"/>
  <c r="J9" i="36"/>
  <c r="AA29" i="13"/>
  <c r="Z34" i="13"/>
  <c r="Z9" i="31" s="1"/>
  <c r="T24" i="51" s="1"/>
  <c r="H52" i="15"/>
  <c r="T39" i="20"/>
  <c r="T25" i="20"/>
  <c r="J15" i="34"/>
  <c r="D54" i="51" s="1"/>
  <c r="AB14" i="16"/>
  <c r="AB28" i="16"/>
  <c r="L39" i="20"/>
  <c r="L25" i="20"/>
  <c r="J19" i="31"/>
  <c r="D34" i="51" s="1"/>
  <c r="K29" i="19"/>
  <c r="Z13" i="28"/>
  <c r="AA10" i="37"/>
  <c r="V26" i="49" s="1"/>
  <c r="AA24" i="12"/>
  <c r="AA26" i="12" s="1"/>
  <c r="AA31" i="12" s="1"/>
  <c r="AA33" i="12" s="1"/>
  <c r="AB20" i="10"/>
  <c r="O10" i="38"/>
  <c r="L10" i="39"/>
  <c r="J82" i="20"/>
  <c r="J19" i="30"/>
  <c r="J19" i="29"/>
  <c r="J19" i="23"/>
  <c r="D15" i="50" s="1"/>
  <c r="AF18" i="34"/>
  <c r="Z57" i="51" s="1"/>
  <c r="J36" i="19"/>
  <c r="K37" i="19" s="1"/>
  <c r="Z14" i="20"/>
  <c r="Z15" i="20" s="1"/>
  <c r="Z20" i="20"/>
  <c r="Z21" i="20" s="1"/>
  <c r="Z34" i="20" s="1"/>
  <c r="Z46" i="18"/>
  <c r="Z47" i="18" s="1"/>
  <c r="Z42" i="18"/>
  <c r="Z33" i="18"/>
  <c r="Z39" i="16"/>
  <c r="Z40" i="16" s="1"/>
  <c r="AA16" i="19"/>
  <c r="AA17" i="19" s="1"/>
  <c r="AA42" i="15"/>
  <c r="AA20" i="15"/>
  <c r="AA25" i="11"/>
  <c r="AA16" i="37"/>
  <c r="AA63" i="12"/>
  <c r="AA65" i="12" s="1"/>
  <c r="AA71" i="12"/>
  <c r="AA73" i="12" s="1"/>
  <c r="O16" i="38"/>
  <c r="L16" i="39"/>
  <c r="Z29" i="18"/>
  <c r="Z14" i="18"/>
  <c r="Z49" i="19"/>
  <c r="Z30" i="19"/>
  <c r="K36" i="15"/>
  <c r="K25" i="20"/>
  <c r="K27" i="20" s="1"/>
  <c r="K39" i="20"/>
  <c r="J9" i="35"/>
  <c r="J34" i="20"/>
  <c r="T9" i="51" l="1"/>
  <c r="U20" i="49"/>
  <c r="Z14" i="28"/>
  <c r="Z32" i="16"/>
  <c r="Z45" i="16"/>
  <c r="Z46" i="16" s="1"/>
  <c r="Z41" i="16"/>
  <c r="K38" i="19"/>
  <c r="K31" i="19"/>
  <c r="K32" i="19" s="1"/>
  <c r="AB20" i="34"/>
  <c r="V59" i="51" s="1"/>
  <c r="J35" i="20"/>
  <c r="J40" i="20"/>
  <c r="Z22" i="34"/>
  <c r="T61" i="51" s="1"/>
  <c r="Z18" i="28"/>
  <c r="H9" i="36"/>
  <c r="H9" i="35"/>
  <c r="H9" i="34"/>
  <c r="H9" i="25"/>
  <c r="Z48" i="18"/>
  <c r="Z34" i="18"/>
  <c r="Z35" i="18" s="1"/>
  <c r="Z13" i="18" s="1"/>
  <c r="Z15" i="18" s="1"/>
  <c r="K48" i="19"/>
  <c r="K51" i="19" s="1"/>
  <c r="Z48" i="17"/>
  <c r="Z34" i="17"/>
  <c r="Z35" i="17" s="1"/>
  <c r="Z13" i="17" s="1"/>
  <c r="Z15" i="17" s="1"/>
  <c r="AA17" i="37"/>
  <c r="V29" i="49" s="1"/>
  <c r="AB70" i="12"/>
  <c r="AA17" i="11"/>
  <c r="AA18" i="11" s="1"/>
  <c r="L17" i="39"/>
  <c r="O17" i="38"/>
  <c r="K15" i="31"/>
  <c r="E30" i="51" s="1"/>
  <c r="L28" i="15"/>
  <c r="L36" i="15" s="1"/>
  <c r="AA21" i="19"/>
  <c r="AA43" i="15"/>
  <c r="AA45" i="15" s="1"/>
  <c r="AA21" i="15"/>
  <c r="AC22" i="15" s="1"/>
  <c r="Z25" i="20"/>
  <c r="Z39" i="20"/>
  <c r="AB28" i="10"/>
  <c r="AA15" i="37"/>
  <c r="V28" i="49" s="1"/>
  <c r="AB60" i="12"/>
  <c r="L15" i="39"/>
  <c r="O15" i="38"/>
  <c r="K40" i="20"/>
  <c r="K41" i="20" s="1"/>
  <c r="K46" i="20" s="1"/>
  <c r="K47" i="20" s="1"/>
  <c r="K35" i="20"/>
  <c r="K36" i="20" s="1"/>
  <c r="L33" i="20" s="1"/>
  <c r="AA11" i="37"/>
  <c r="AA20" i="17"/>
  <c r="AA22" i="17" s="1"/>
  <c r="AA13" i="15"/>
  <c r="AA14" i="15" s="1"/>
  <c r="AA48" i="12"/>
  <c r="AA50" i="12" s="1"/>
  <c r="AA21" i="13"/>
  <c r="AA24" i="13" s="1"/>
  <c r="AA39" i="12"/>
  <c r="AG41" i="12" s="1"/>
  <c r="AA17" i="9"/>
  <c r="AA18" i="9" s="1"/>
  <c r="L11" i="39"/>
  <c r="O11" i="38"/>
  <c r="J26" i="34"/>
  <c r="D65" i="51" s="1"/>
  <c r="J41" i="20"/>
  <c r="Z16" i="28"/>
  <c r="T14" i="51" l="1"/>
  <c r="U23" i="49"/>
  <c r="T10" i="51"/>
  <c r="U14" i="49"/>
  <c r="T12" i="51"/>
  <c r="U21" i="49"/>
  <c r="AC8" i="34"/>
  <c r="W47" i="51" s="1"/>
  <c r="AC44" i="15"/>
  <c r="Z18" i="31"/>
  <c r="AA11" i="18"/>
  <c r="AA10" i="31"/>
  <c r="U25" i="51" s="1"/>
  <c r="AB41" i="15"/>
  <c r="L10" i="33"/>
  <c r="O10" i="32"/>
  <c r="K81" i="20"/>
  <c r="K76" i="20"/>
  <c r="K48" i="20"/>
  <c r="K21" i="28" s="1"/>
  <c r="AA17" i="34"/>
  <c r="U56" i="51" s="1"/>
  <c r="AA12" i="17"/>
  <c r="AA27" i="17"/>
  <c r="AG28" i="17" s="1"/>
  <c r="O17" i="35"/>
  <c r="L17" i="36"/>
  <c r="Z16" i="31"/>
  <c r="AA11" i="17"/>
  <c r="L15" i="31"/>
  <c r="F30" i="51" s="1"/>
  <c r="M28" i="15"/>
  <c r="M36" i="15" s="1"/>
  <c r="J15" i="32"/>
  <c r="Z23" i="34"/>
  <c r="T62" i="51" s="1"/>
  <c r="K10" i="34"/>
  <c r="E49" i="51" s="1"/>
  <c r="AA29" i="15"/>
  <c r="AA10" i="12"/>
  <c r="AA11" i="12" s="1"/>
  <c r="L26" i="20"/>
  <c r="L27" i="20" s="1"/>
  <c r="K19" i="31"/>
  <c r="E34" i="51" s="1"/>
  <c r="L29" i="19"/>
  <c r="Z17" i="28"/>
  <c r="AG13" i="37"/>
  <c r="AG20" i="18"/>
  <c r="AG22" i="18" s="1"/>
  <c r="AG49" i="12"/>
  <c r="AG61" i="12"/>
  <c r="K13" i="26"/>
  <c r="Q13" i="38"/>
  <c r="M13" i="39"/>
  <c r="K36" i="19"/>
  <c r="L37" i="19" s="1"/>
  <c r="Z25" i="34"/>
  <c r="T64" i="51" s="1"/>
  <c r="Z47" i="16"/>
  <c r="Z33" i="16"/>
  <c r="Z34" i="16" s="1"/>
  <c r="Z13" i="16" s="1"/>
  <c r="Z15" i="16" s="1"/>
  <c r="J29" i="34"/>
  <c r="D68" i="51" s="1"/>
  <c r="AA8" i="31"/>
  <c r="U23" i="51" s="1"/>
  <c r="AB20" i="13"/>
  <c r="L8" i="33"/>
  <c r="O8" i="32"/>
  <c r="AA12" i="37"/>
  <c r="V27" i="49" s="1"/>
  <c r="AB47" i="12"/>
  <c r="AA12" i="13"/>
  <c r="AA13" i="13" s="1"/>
  <c r="L12" i="39"/>
  <c r="O12" i="38"/>
  <c r="AA8" i="28"/>
  <c r="AA19" i="16"/>
  <c r="AA21" i="16" s="1"/>
  <c r="AA26" i="11"/>
  <c r="AA27" i="11" s="1"/>
  <c r="O8" i="29"/>
  <c r="L8" i="30"/>
  <c r="J46" i="20"/>
  <c r="J47" i="20" s="1"/>
  <c r="AA15" i="15"/>
  <c r="AA32" i="15"/>
  <c r="AB27" i="10"/>
  <c r="AB29" i="10" s="1"/>
  <c r="T31" i="51" l="1"/>
  <c r="U9" i="49"/>
  <c r="V12" i="49"/>
  <c r="U4" i="51"/>
  <c r="T13" i="51"/>
  <c r="U22" i="49"/>
  <c r="E17" i="51"/>
  <c r="F24" i="49"/>
  <c r="T33" i="51"/>
  <c r="U10" i="49"/>
  <c r="Z19" i="28"/>
  <c r="AA11" i="28"/>
  <c r="AA9" i="20" s="1"/>
  <c r="AA10" i="20" s="1"/>
  <c r="K22" i="28"/>
  <c r="Z17" i="31"/>
  <c r="AA11" i="16"/>
  <c r="AB53" i="12"/>
  <c r="AB54" i="12" s="1"/>
  <c r="AB11" i="11"/>
  <c r="AB12" i="11" s="1"/>
  <c r="AB23" i="10"/>
  <c r="AB24" i="10" s="1"/>
  <c r="AA14" i="34"/>
  <c r="U53" i="51" s="1"/>
  <c r="O14" i="35"/>
  <c r="L14" i="36"/>
  <c r="AG21" i="34"/>
  <c r="AA60" i="51" s="1"/>
  <c r="AG12" i="18"/>
  <c r="M21" i="36"/>
  <c r="Q21" i="35"/>
  <c r="K21" i="25"/>
  <c r="E60" i="50" s="1"/>
  <c r="Z82" i="20"/>
  <c r="AA27" i="18"/>
  <c r="AA28" i="18" s="1"/>
  <c r="AA40" i="18"/>
  <c r="AA41" i="18" s="1"/>
  <c r="L31" i="19"/>
  <c r="L38" i="19"/>
  <c r="L40" i="20"/>
  <c r="L41" i="20" s="1"/>
  <c r="L35" i="20"/>
  <c r="L36" i="20" s="1"/>
  <c r="M33" i="20" s="1"/>
  <c r="AA9" i="19"/>
  <c r="AA11" i="19" s="1"/>
  <c r="AA30" i="15"/>
  <c r="AA14" i="13"/>
  <c r="AA30" i="13"/>
  <c r="AA33" i="13" s="1"/>
  <c r="AB11" i="13"/>
  <c r="Z24" i="34"/>
  <c r="T63" i="51" s="1"/>
  <c r="AB25" i="12"/>
  <c r="J12" i="9"/>
  <c r="J13" i="9" s="1"/>
  <c r="AA14" i="31"/>
  <c r="U29" i="51" s="1"/>
  <c r="AB24" i="11"/>
  <c r="O14" i="32"/>
  <c r="L14" i="33"/>
  <c r="L48" i="19"/>
  <c r="L51" i="19" s="1"/>
  <c r="L32" i="19"/>
  <c r="AG29" i="17"/>
  <c r="AG14" i="17"/>
  <c r="J76" i="20"/>
  <c r="J78" i="20" s="1"/>
  <c r="J81" i="20"/>
  <c r="J48" i="20"/>
  <c r="AA40" i="17"/>
  <c r="AA41" i="17" s="1"/>
  <c r="AA19" i="34"/>
  <c r="U58" i="51" s="1"/>
  <c r="AA26" i="16"/>
  <c r="AC27" i="16" s="1"/>
  <c r="AA12" i="16"/>
  <c r="L19" i="36"/>
  <c r="O19" i="35"/>
  <c r="M15" i="31"/>
  <c r="G30" i="51" s="1"/>
  <c r="N28" i="15"/>
  <c r="N36" i="15" s="1"/>
  <c r="T32" i="51" l="1"/>
  <c r="U8" i="49"/>
  <c r="E18" i="51"/>
  <c r="F16" i="49"/>
  <c r="O11" i="29"/>
  <c r="U7" i="51"/>
  <c r="V13" i="49"/>
  <c r="T15" i="51"/>
  <c r="U15" i="49"/>
  <c r="L11" i="30"/>
  <c r="K37" i="9"/>
  <c r="AA13" i="28"/>
  <c r="O13" i="29"/>
  <c r="L10" i="34"/>
  <c r="F49" i="51" s="1"/>
  <c r="J10" i="35"/>
  <c r="AC28" i="16"/>
  <c r="AC14" i="16"/>
  <c r="J20" i="31"/>
  <c r="D35" i="51" s="1"/>
  <c r="K75" i="20"/>
  <c r="L19" i="31"/>
  <c r="F34" i="51" s="1"/>
  <c r="M29" i="19"/>
  <c r="J19" i="32"/>
  <c r="AA22" i="19"/>
  <c r="AA23" i="19" s="1"/>
  <c r="AA42" i="18"/>
  <c r="AA46" i="18"/>
  <c r="AA47" i="18" s="1"/>
  <c r="AA33" i="18"/>
  <c r="AB10" i="37"/>
  <c r="W26" i="49" s="1"/>
  <c r="AB24" i="12"/>
  <c r="AB26" i="12" s="1"/>
  <c r="AB31" i="12" s="1"/>
  <c r="AB33" i="12" s="1"/>
  <c r="AC20" i="10"/>
  <c r="J11" i="31"/>
  <c r="J9" i="8"/>
  <c r="K11" i="9"/>
  <c r="AA29" i="18"/>
  <c r="AA14" i="18"/>
  <c r="AB16" i="19"/>
  <c r="AB17" i="19" s="1"/>
  <c r="AB42" i="15"/>
  <c r="AB20" i="15"/>
  <c r="AB25" i="11"/>
  <c r="M26" i="20"/>
  <c r="M27" i="20" s="1"/>
  <c r="AA14" i="20"/>
  <c r="AA15" i="20" s="1"/>
  <c r="AA20" i="20"/>
  <c r="AA21" i="20" s="1"/>
  <c r="AB16" i="37"/>
  <c r="AB63" i="12"/>
  <c r="AB65" i="12" s="1"/>
  <c r="AB71" i="12"/>
  <c r="AB73" i="12" s="1"/>
  <c r="AG18" i="34"/>
  <c r="AA57" i="51" s="1"/>
  <c r="K18" i="25"/>
  <c r="E57" i="50" s="1"/>
  <c r="M18" i="36"/>
  <c r="Q18" i="35"/>
  <c r="J21" i="28"/>
  <c r="L46" i="20"/>
  <c r="L47" i="20" s="1"/>
  <c r="AA39" i="16"/>
  <c r="AA40" i="16" s="1"/>
  <c r="N15" i="31"/>
  <c r="H30" i="51" s="1"/>
  <c r="O28" i="15"/>
  <c r="O36" i="15" s="1"/>
  <c r="AA33" i="17"/>
  <c r="AA46" i="17"/>
  <c r="AA47" i="17" s="1"/>
  <c r="AA42" i="17"/>
  <c r="L36" i="19"/>
  <c r="M37" i="19" s="1"/>
  <c r="AA34" i="13"/>
  <c r="AB29" i="13"/>
  <c r="D26" i="51" l="1"/>
  <c r="E7" i="49"/>
  <c r="U9" i="51"/>
  <c r="V20" i="49"/>
  <c r="D17" i="51"/>
  <c r="E24" i="49"/>
  <c r="J22" i="28"/>
  <c r="J12" i="31"/>
  <c r="D27" i="51" s="1"/>
  <c r="AA14" i="28"/>
  <c r="J21" i="31"/>
  <c r="D36" i="51" s="1"/>
  <c r="AB15" i="37"/>
  <c r="W28" i="49" s="1"/>
  <c r="AC60" i="12"/>
  <c r="AA49" i="19"/>
  <c r="AA30" i="19"/>
  <c r="AC28" i="10"/>
  <c r="M38" i="19"/>
  <c r="M31" i="19"/>
  <c r="AB21" i="19"/>
  <c r="AB43" i="15"/>
  <c r="AB45" i="15" s="1"/>
  <c r="AB21" i="15"/>
  <c r="AD22" i="15" s="1"/>
  <c r="AB11" i="37"/>
  <c r="AB20" i="17"/>
  <c r="AB22" i="17" s="1"/>
  <c r="AB21" i="13"/>
  <c r="AB24" i="13" s="1"/>
  <c r="AB13" i="15"/>
  <c r="AB14" i="15" s="1"/>
  <c r="AB39" i="12"/>
  <c r="AH41" i="12" s="1"/>
  <c r="AB48" i="12"/>
  <c r="AB50" i="12" s="1"/>
  <c r="AB17" i="9"/>
  <c r="AB18" i="9" s="1"/>
  <c r="M48" i="19"/>
  <c r="M51" i="19" s="1"/>
  <c r="M32" i="19"/>
  <c r="AA34" i="20"/>
  <c r="AA39" i="20"/>
  <c r="AA25" i="20"/>
  <c r="AA22" i="34"/>
  <c r="U61" i="51" s="1"/>
  <c r="O22" i="35"/>
  <c r="K66" i="20"/>
  <c r="K68" i="20" s="1"/>
  <c r="AA16" i="28"/>
  <c r="O16" i="29"/>
  <c r="O15" i="31"/>
  <c r="I30" i="51" s="1"/>
  <c r="P28" i="15"/>
  <c r="P36" i="15" s="1"/>
  <c r="K15" i="32"/>
  <c r="J15" i="33"/>
  <c r="AA48" i="18"/>
  <c r="AA34" i="18"/>
  <c r="AA35" i="18" s="1"/>
  <c r="AA13" i="18" s="1"/>
  <c r="AA15" i="18" s="1"/>
  <c r="AA32" i="16"/>
  <c r="AA45" i="16"/>
  <c r="AA46" i="16" s="1"/>
  <c r="AA41" i="16"/>
  <c r="AA9" i="31"/>
  <c r="U24" i="51" s="1"/>
  <c r="O9" i="32"/>
  <c r="L9" i="33"/>
  <c r="M40" i="20"/>
  <c r="M41" i="20" s="1"/>
  <c r="M35" i="20"/>
  <c r="M36" i="20" s="1"/>
  <c r="N33" i="20" s="1"/>
  <c r="AA18" i="28"/>
  <c r="O18" i="29"/>
  <c r="L14" i="30"/>
  <c r="O14" i="29"/>
  <c r="L81" i="20"/>
  <c r="L76" i="20"/>
  <c r="L48" i="20"/>
  <c r="AA34" i="17"/>
  <c r="AA48" i="17"/>
  <c r="AA35" i="17"/>
  <c r="AA13" i="17" s="1"/>
  <c r="AA15" i="17" s="1"/>
  <c r="AB17" i="37"/>
  <c r="W29" i="49" s="1"/>
  <c r="AC70" i="12"/>
  <c r="AB17" i="11"/>
  <c r="AB18" i="11" s="1"/>
  <c r="AC20" i="34"/>
  <c r="W59" i="51" s="1"/>
  <c r="D18" i="51" l="1"/>
  <c r="E16" i="49"/>
  <c r="U14" i="51"/>
  <c r="V23" i="49"/>
  <c r="U12" i="51"/>
  <c r="V21" i="49"/>
  <c r="J37" i="9"/>
  <c r="J38" i="9" s="1"/>
  <c r="J25" i="31" s="1"/>
  <c r="D40" i="51" s="1"/>
  <c r="U10" i="51"/>
  <c r="V14" i="49"/>
  <c r="J22" i="9"/>
  <c r="J24" i="9" s="1"/>
  <c r="J23" i="31" s="1"/>
  <c r="D38" i="51" s="1"/>
  <c r="J23" i="9"/>
  <c r="AA18" i="31"/>
  <c r="AB11" i="18"/>
  <c r="O18" i="32"/>
  <c r="L18" i="33"/>
  <c r="M46" i="20"/>
  <c r="M47" i="20" s="1"/>
  <c r="AA17" i="28"/>
  <c r="O17" i="29"/>
  <c r="P15" i="31"/>
  <c r="J30" i="51" s="1"/>
  <c r="Q28" i="15"/>
  <c r="Q36" i="15" s="1"/>
  <c r="AB32" i="15"/>
  <c r="AB15" i="15"/>
  <c r="AD8" i="34"/>
  <c r="X47" i="51" s="1"/>
  <c r="AD44" i="15"/>
  <c r="P8" i="35"/>
  <c r="AA47" i="16"/>
  <c r="AA33" i="16"/>
  <c r="M19" i="31"/>
  <c r="G34" i="51" s="1"/>
  <c r="N29" i="19"/>
  <c r="AB8" i="31"/>
  <c r="V23" i="51" s="1"/>
  <c r="AC20" i="13"/>
  <c r="M10" i="34"/>
  <c r="G49" i="51" s="1"/>
  <c r="AC27" i="10"/>
  <c r="AC29" i="10" s="1"/>
  <c r="AA16" i="31"/>
  <c r="AB11" i="17"/>
  <c r="O16" i="32"/>
  <c r="L16" i="33"/>
  <c r="N26" i="20"/>
  <c r="N27" i="20" s="1"/>
  <c r="AA34" i="16"/>
  <c r="AA13" i="16" s="1"/>
  <c r="AA15" i="16" s="1"/>
  <c r="M36" i="19"/>
  <c r="N37" i="19" s="1"/>
  <c r="AB17" i="34"/>
  <c r="V56" i="51" s="1"/>
  <c r="AB12" i="17"/>
  <c r="AB27" i="17"/>
  <c r="AH28" i="17" s="1"/>
  <c r="AA25" i="34"/>
  <c r="U64" i="51" s="1"/>
  <c r="O25" i="35"/>
  <c r="AB10" i="31"/>
  <c r="V25" i="51" s="1"/>
  <c r="AC41" i="15"/>
  <c r="AB29" i="15"/>
  <c r="AB10" i="12"/>
  <c r="AB11" i="12" s="1"/>
  <c r="AB12" i="37"/>
  <c r="W27" i="49" s="1"/>
  <c r="AB12" i="13"/>
  <c r="AB13" i="13" s="1"/>
  <c r="AC47" i="12"/>
  <c r="K36" i="9"/>
  <c r="K38" i="9" s="1"/>
  <c r="AA23" i="34"/>
  <c r="U62" i="51" s="1"/>
  <c r="O23" i="35"/>
  <c r="L21" i="28"/>
  <c r="J21" i="29"/>
  <c r="AB8" i="28"/>
  <c r="AB19" i="16"/>
  <c r="AB21" i="16" s="1"/>
  <c r="AB26" i="11"/>
  <c r="AB27" i="11" s="1"/>
  <c r="K69" i="20"/>
  <c r="K77" i="20"/>
  <c r="K78" i="20" s="1"/>
  <c r="AH13" i="37"/>
  <c r="AH20" i="18"/>
  <c r="AH22" i="18" s="1"/>
  <c r="AH49" i="12"/>
  <c r="AH61" i="12"/>
  <c r="J28" i="9" l="1"/>
  <c r="J30" i="9" s="1"/>
  <c r="V4" i="51"/>
  <c r="W12" i="49"/>
  <c r="U33" i="51"/>
  <c r="V10" i="49"/>
  <c r="U31" i="51"/>
  <c r="V9" i="49"/>
  <c r="F17" i="51"/>
  <c r="G24" i="49"/>
  <c r="U13" i="51"/>
  <c r="V22" i="49"/>
  <c r="J15" i="22"/>
  <c r="AB11" i="28"/>
  <c r="AA19" i="28"/>
  <c r="AA82" i="20" s="1"/>
  <c r="L22" i="28"/>
  <c r="AB19" i="34"/>
  <c r="V58" i="51" s="1"/>
  <c r="AB26" i="16"/>
  <c r="AD27" i="16" s="1"/>
  <c r="AB12" i="16"/>
  <c r="N38" i="19"/>
  <c r="N31" i="19"/>
  <c r="AC11" i="13"/>
  <c r="AB9" i="20"/>
  <c r="AB10" i="20" s="1"/>
  <c r="K25" i="31"/>
  <c r="E40" i="51" s="1"/>
  <c r="K28" i="9"/>
  <c r="K30" i="9" s="1"/>
  <c r="L36" i="9"/>
  <c r="AA17" i="31"/>
  <c r="AB11" i="16"/>
  <c r="L17" i="33"/>
  <c r="O17" i="32"/>
  <c r="AC53" i="12"/>
  <c r="AC54" i="12" s="1"/>
  <c r="AC11" i="11"/>
  <c r="AC12" i="11" s="1"/>
  <c r="AC23" i="10"/>
  <c r="AC24" i="10" s="1"/>
  <c r="N48" i="19"/>
  <c r="N51" i="19" s="1"/>
  <c r="N32" i="19"/>
  <c r="J27" i="31"/>
  <c r="D42" i="51" s="1"/>
  <c r="J16" i="22"/>
  <c r="J17" i="22" s="1"/>
  <c r="J21" i="22" s="1"/>
  <c r="N35" i="20"/>
  <c r="N36" i="20" s="1"/>
  <c r="O33" i="20" s="1"/>
  <c r="N40" i="20"/>
  <c r="N41" i="20" s="1"/>
  <c r="M48" i="20"/>
  <c r="M81" i="20"/>
  <c r="M76" i="20"/>
  <c r="K11" i="34"/>
  <c r="E50" i="51" s="1"/>
  <c r="AH14" i="17"/>
  <c r="AH29" i="17"/>
  <c r="AB14" i="34"/>
  <c r="V53" i="51" s="1"/>
  <c r="AB9" i="19"/>
  <c r="AB11" i="19" s="1"/>
  <c r="AB30" i="15"/>
  <c r="AC25" i="12"/>
  <c r="K20" i="31"/>
  <c r="E35" i="51" s="1"/>
  <c r="L75" i="20"/>
  <c r="L37" i="9"/>
  <c r="J22" i="29"/>
  <c r="AB40" i="17"/>
  <c r="AB41" i="17" s="1"/>
  <c r="AA24" i="34"/>
  <c r="U63" i="51" s="1"/>
  <c r="O24" i="35"/>
  <c r="Q15" i="31"/>
  <c r="K30" i="51" s="1"/>
  <c r="R28" i="15"/>
  <c r="R36" i="15" s="1"/>
  <c r="AB40" i="18"/>
  <c r="AB41" i="18" s="1"/>
  <c r="AB27" i="18"/>
  <c r="AB28" i="18" s="1"/>
  <c r="AB14" i="13"/>
  <c r="AB30" i="13"/>
  <c r="AB33" i="13" s="1"/>
  <c r="AH21" i="34"/>
  <c r="AB60" i="51" s="1"/>
  <c r="AH12" i="18"/>
  <c r="AB14" i="31"/>
  <c r="V29" i="51" s="1"/>
  <c r="AC24" i="11"/>
  <c r="L19" i="30" l="1"/>
  <c r="O19" i="29"/>
  <c r="F18" i="51"/>
  <c r="G16" i="49"/>
  <c r="U15" i="51"/>
  <c r="V15" i="49"/>
  <c r="V7" i="51"/>
  <c r="W13" i="49"/>
  <c r="U32" i="51"/>
  <c r="V8" i="49"/>
  <c r="K12" i="34"/>
  <c r="E51" i="51" s="1"/>
  <c r="K21" i="31"/>
  <c r="E36" i="51" s="1"/>
  <c r="AC16" i="19"/>
  <c r="AC17" i="19" s="1"/>
  <c r="AC42" i="15"/>
  <c r="AC20" i="15"/>
  <c r="AC25" i="11"/>
  <c r="L66" i="20"/>
  <c r="L68" i="20" s="1"/>
  <c r="K15" i="34"/>
  <c r="E54" i="51" s="1"/>
  <c r="N46" i="20"/>
  <c r="N47" i="20" s="1"/>
  <c r="AC16" i="37"/>
  <c r="AC71" i="12"/>
  <c r="AC73" i="12" s="1"/>
  <c r="AC63" i="12"/>
  <c r="AC65" i="12" s="1"/>
  <c r="N10" i="34"/>
  <c r="H49" i="51" s="1"/>
  <c r="O26" i="20"/>
  <c r="O27" i="20" s="1"/>
  <c r="AB39" i="16"/>
  <c r="AB40" i="16" s="1"/>
  <c r="AB20" i="20"/>
  <c r="AB21" i="20" s="1"/>
  <c r="AB14" i="20"/>
  <c r="AB15" i="20" s="1"/>
  <c r="AB14" i="18"/>
  <c r="AB29" i="18"/>
  <c r="AB34" i="13"/>
  <c r="AB9" i="31" s="1"/>
  <c r="V24" i="51" s="1"/>
  <c r="AC29" i="13"/>
  <c r="AB13" i="28"/>
  <c r="AB46" i="18"/>
  <c r="AB47" i="18" s="1"/>
  <c r="AB42" i="18"/>
  <c r="AB33" i="18"/>
  <c r="M21" i="28"/>
  <c r="N19" i="31"/>
  <c r="H34" i="51" s="1"/>
  <c r="O29" i="19"/>
  <c r="L38" i="9"/>
  <c r="AH18" i="34"/>
  <c r="AB57" i="51" s="1"/>
  <c r="R15" i="31"/>
  <c r="L30" i="51" s="1"/>
  <c r="S28" i="15"/>
  <c r="S36" i="15" s="1"/>
  <c r="N36" i="19"/>
  <c r="O37" i="19" s="1"/>
  <c r="K27" i="31"/>
  <c r="E42" i="51" s="1"/>
  <c r="K16" i="22"/>
  <c r="AD14" i="16"/>
  <c r="AD28" i="16"/>
  <c r="AB33" i="17"/>
  <c r="AB46" i="17"/>
  <c r="AB47" i="17" s="1"/>
  <c r="AB42" i="17"/>
  <c r="AB22" i="19"/>
  <c r="AB23" i="19" s="1"/>
  <c r="AC10" i="37"/>
  <c r="X26" i="49" s="1"/>
  <c r="AC24" i="12"/>
  <c r="AC26" i="12" s="1"/>
  <c r="AC31" i="12" s="1"/>
  <c r="AC33" i="12" s="1"/>
  <c r="AD20" i="10"/>
  <c r="V9" i="51" l="1"/>
  <c r="W20" i="49"/>
  <c r="G17" i="51"/>
  <c r="H24" i="49"/>
  <c r="K23" i="9"/>
  <c r="M22" i="28"/>
  <c r="AB14" i="28"/>
  <c r="AC17" i="37"/>
  <c r="X29" i="49" s="1"/>
  <c r="AD70" i="12"/>
  <c r="AC17" i="11"/>
  <c r="AC18" i="11" s="1"/>
  <c r="K26" i="34"/>
  <c r="E65" i="51" s="1"/>
  <c r="O40" i="20"/>
  <c r="O41" i="20" s="1"/>
  <c r="O35" i="20"/>
  <c r="O36" i="20" s="1"/>
  <c r="P33" i="20" s="1"/>
  <c r="AB39" i="20"/>
  <c r="AB25" i="20"/>
  <c r="L77" i="20"/>
  <c r="L78" i="20" s="1"/>
  <c r="L69" i="20"/>
  <c r="AB34" i="20"/>
  <c r="N76" i="20"/>
  <c r="N81" i="20"/>
  <c r="N48" i="20"/>
  <c r="AB16" i="28"/>
  <c r="L25" i="31"/>
  <c r="F40" i="51" s="1"/>
  <c r="L28" i="9"/>
  <c r="L30" i="9" s="1"/>
  <c r="M36" i="9"/>
  <c r="J25" i="32"/>
  <c r="O38" i="19"/>
  <c r="O10" i="34" s="1"/>
  <c r="I49" i="51" s="1"/>
  <c r="O31" i="19"/>
  <c r="O32" i="19" s="1"/>
  <c r="AB32" i="16"/>
  <c r="AB45" i="16"/>
  <c r="AB46" i="16" s="1"/>
  <c r="AB41" i="16"/>
  <c r="AB49" i="19"/>
  <c r="AB30" i="19"/>
  <c r="M37" i="9"/>
  <c r="AD28" i="10"/>
  <c r="AB48" i="17"/>
  <c r="AB34" i="17"/>
  <c r="AB35" i="17" s="1"/>
  <c r="AB13" i="17" s="1"/>
  <c r="AB15" i="17" s="1"/>
  <c r="AC11" i="37"/>
  <c r="AC20" i="17"/>
  <c r="AC22" i="17" s="1"/>
  <c r="AC13" i="15"/>
  <c r="AC14" i="15" s="1"/>
  <c r="AC21" i="13"/>
  <c r="AC24" i="13" s="1"/>
  <c r="AC39" i="12"/>
  <c r="AI41" i="12" s="1"/>
  <c r="AC48" i="12"/>
  <c r="AC50" i="12" s="1"/>
  <c r="AC17" i="9"/>
  <c r="AC18" i="9" s="1"/>
  <c r="S15" i="31"/>
  <c r="M30" i="51" s="1"/>
  <c r="T28" i="15"/>
  <c r="T36" i="15" s="1"/>
  <c r="O48" i="19"/>
  <c r="O51" i="19" s="1"/>
  <c r="O36" i="19" s="1"/>
  <c r="P37" i="19" s="1"/>
  <c r="AB18" i="28"/>
  <c r="AB22" i="34"/>
  <c r="V61" i="51" s="1"/>
  <c r="AC21" i="19"/>
  <c r="AC21" i="15"/>
  <c r="AE22" i="15" s="1"/>
  <c r="AC43" i="15"/>
  <c r="AC45" i="15" s="1"/>
  <c r="AD20" i="34"/>
  <c r="X59" i="51" s="1"/>
  <c r="P20" i="35"/>
  <c r="AB34" i="18"/>
  <c r="AB35" i="18" s="1"/>
  <c r="AB13" i="18" s="1"/>
  <c r="AB15" i="18" s="1"/>
  <c r="AB48" i="18"/>
  <c r="AC15" i="37"/>
  <c r="X28" i="49" s="1"/>
  <c r="AD60" i="12"/>
  <c r="V14" i="51" l="1"/>
  <c r="W23" i="49"/>
  <c r="V10" i="51"/>
  <c r="W14" i="49"/>
  <c r="V12" i="51"/>
  <c r="W21" i="49"/>
  <c r="G18" i="51"/>
  <c r="H16" i="49"/>
  <c r="M38" i="9"/>
  <c r="AB16" i="31"/>
  <c r="AC11" i="17"/>
  <c r="AB18" i="31"/>
  <c r="AC11" i="18"/>
  <c r="AE8" i="34"/>
  <c r="Y47" i="51" s="1"/>
  <c r="AE44" i="15"/>
  <c r="O19" i="31"/>
  <c r="I34" i="51" s="1"/>
  <c r="P29" i="19"/>
  <c r="K19" i="32"/>
  <c r="J19" i="33"/>
  <c r="P31" i="19"/>
  <c r="P38" i="19"/>
  <c r="AB17" i="28"/>
  <c r="L27" i="31"/>
  <c r="F42" i="51" s="1"/>
  <c r="L16" i="22"/>
  <c r="J27" i="32"/>
  <c r="L11" i="34"/>
  <c r="F50" i="51" s="1"/>
  <c r="J11" i="35"/>
  <c r="K29" i="34"/>
  <c r="E68" i="51" s="1"/>
  <c r="AB25" i="34"/>
  <c r="V64" i="51" s="1"/>
  <c r="T15" i="31"/>
  <c r="N30" i="51" s="1"/>
  <c r="U28" i="15"/>
  <c r="U36" i="15" s="1"/>
  <c r="AC17" i="34"/>
  <c r="W56" i="51" s="1"/>
  <c r="AC27" i="17"/>
  <c r="AI28" i="17" s="1"/>
  <c r="AC12" i="17"/>
  <c r="AB33" i="16"/>
  <c r="AB34" i="16" s="1"/>
  <c r="AB13" i="16" s="1"/>
  <c r="AB15" i="16" s="1"/>
  <c r="AB47" i="16"/>
  <c r="N21" i="28"/>
  <c r="L20" i="31"/>
  <c r="F35" i="51" s="1"/>
  <c r="M75" i="20"/>
  <c r="J20" i="32"/>
  <c r="AC8" i="28"/>
  <c r="AC19" i="16"/>
  <c r="AC21" i="16" s="1"/>
  <c r="AC26" i="11"/>
  <c r="AC27" i="11" s="1"/>
  <c r="P26" i="20"/>
  <c r="P27" i="20" s="1"/>
  <c r="AI13" i="37"/>
  <c r="AI20" i="18"/>
  <c r="AI22" i="18" s="1"/>
  <c r="AI61" i="12"/>
  <c r="AI49" i="12"/>
  <c r="AC8" i="31"/>
  <c r="W23" i="51" s="1"/>
  <c r="AD20" i="13"/>
  <c r="AC10" i="31"/>
  <c r="W25" i="51" s="1"/>
  <c r="AD41" i="15"/>
  <c r="AC15" i="15"/>
  <c r="AC32" i="15"/>
  <c r="AD27" i="10"/>
  <c r="AD29" i="10" s="1"/>
  <c r="O46" i="20"/>
  <c r="O47" i="20" s="1"/>
  <c r="AC12" i="37"/>
  <c r="X27" i="49" s="1"/>
  <c r="AC12" i="13"/>
  <c r="AC13" i="13" s="1"/>
  <c r="AD47" i="12"/>
  <c r="M25" i="31"/>
  <c r="G40" i="51" s="1"/>
  <c r="N36" i="9"/>
  <c r="M28" i="9"/>
  <c r="M30" i="9" s="1"/>
  <c r="AC29" i="15"/>
  <c r="AC10" i="12"/>
  <c r="AC11" i="12" s="1"/>
  <c r="AB23" i="34"/>
  <c r="V62" i="51" s="1"/>
  <c r="V13" i="51" l="1"/>
  <c r="W22" i="49"/>
  <c r="H17" i="51"/>
  <c r="I24" i="49"/>
  <c r="V33" i="51"/>
  <c r="W10" i="49"/>
  <c r="V31" i="51"/>
  <c r="W9" i="49"/>
  <c r="W4" i="51"/>
  <c r="X12" i="49"/>
  <c r="N22" i="28"/>
  <c r="L21" i="31"/>
  <c r="F36" i="51" s="1"/>
  <c r="AB19" i="28"/>
  <c r="L12" i="34"/>
  <c r="F51" i="51" s="1"/>
  <c r="AC11" i="28"/>
  <c r="AC14" i="13"/>
  <c r="AC30" i="13"/>
  <c r="AC33" i="13" s="1"/>
  <c r="AC14" i="34"/>
  <c r="W53" i="51" s="1"/>
  <c r="P10" i="34"/>
  <c r="J49" i="51" s="1"/>
  <c r="AC9" i="19"/>
  <c r="AC11" i="19" s="1"/>
  <c r="AC30" i="15"/>
  <c r="AI14" i="17"/>
  <c r="AI29" i="17"/>
  <c r="AC14" i="31"/>
  <c r="W29" i="51" s="1"/>
  <c r="AD24" i="11"/>
  <c r="U15" i="31"/>
  <c r="O30" i="51" s="1"/>
  <c r="V28" i="15"/>
  <c r="V36" i="15" s="1"/>
  <c r="J15" i="24"/>
  <c r="D30" i="50" s="1"/>
  <c r="K15" i="33"/>
  <c r="M15" i="32"/>
  <c r="M27" i="31"/>
  <c r="G42" i="51" s="1"/>
  <c r="M16" i="22"/>
  <c r="AC19" i="34"/>
  <c r="W58" i="51" s="1"/>
  <c r="AC12" i="16"/>
  <c r="AC26" i="16"/>
  <c r="AE27" i="16" s="1"/>
  <c r="AB24" i="34"/>
  <c r="V63" i="51" s="1"/>
  <c r="K12" i="9"/>
  <c r="K13" i="9" s="1"/>
  <c r="AC27" i="18"/>
  <c r="AC28" i="18" s="1"/>
  <c r="AC40" i="18"/>
  <c r="AC41" i="18" s="1"/>
  <c r="AC9" i="20"/>
  <c r="AC10" i="20" s="1"/>
  <c r="O81" i="20"/>
  <c r="O76" i="20"/>
  <c r="O48" i="20"/>
  <c r="AD11" i="13"/>
  <c r="AD11" i="11"/>
  <c r="AD12" i="11" s="1"/>
  <c r="AD53" i="12"/>
  <c r="AD54" i="12" s="1"/>
  <c r="AD23" i="10"/>
  <c r="AD24" i="10" s="1"/>
  <c r="P40" i="20"/>
  <c r="P41" i="20" s="1"/>
  <c r="P46" i="20" s="1"/>
  <c r="P47" i="20" s="1"/>
  <c r="P35" i="20"/>
  <c r="P36" i="20" s="1"/>
  <c r="Q33" i="20" s="1"/>
  <c r="P48" i="19"/>
  <c r="P51" i="19" s="1"/>
  <c r="P36" i="19" s="1"/>
  <c r="Q37" i="19" s="1"/>
  <c r="P32" i="19"/>
  <c r="AC40" i="17"/>
  <c r="AC41" i="17" s="1"/>
  <c r="AI21" i="34"/>
  <c r="AC60" i="51" s="1"/>
  <c r="AI12" i="18"/>
  <c r="AD25" i="12"/>
  <c r="AB17" i="31"/>
  <c r="AC11" i="16"/>
  <c r="M66" i="20"/>
  <c r="M68" i="20" s="1"/>
  <c r="AB82" i="20"/>
  <c r="J21" i="32" l="1"/>
  <c r="W7" i="51"/>
  <c r="X13" i="49"/>
  <c r="V15" i="51"/>
  <c r="W15" i="49"/>
  <c r="V32" i="51"/>
  <c r="W8" i="49"/>
  <c r="L23" i="9"/>
  <c r="H18" i="51"/>
  <c r="I16" i="49"/>
  <c r="N37" i="9"/>
  <c r="N38" i="9" s="1"/>
  <c r="J12" i="35"/>
  <c r="L15" i="34"/>
  <c r="F54" i="51" s="1"/>
  <c r="AC22" i="19"/>
  <c r="AC23" i="19" s="1"/>
  <c r="L26" i="34"/>
  <c r="F65" i="51" s="1"/>
  <c r="AD16" i="19"/>
  <c r="AD17" i="19" s="1"/>
  <c r="AD20" i="15"/>
  <c r="AD42" i="15"/>
  <c r="AD25" i="11"/>
  <c r="V15" i="31"/>
  <c r="P30" i="51" s="1"/>
  <c r="W28" i="15"/>
  <c r="W36" i="15" s="1"/>
  <c r="AC46" i="17"/>
  <c r="AC47" i="17" s="1"/>
  <c r="AC42" i="17"/>
  <c r="AC33" i="17"/>
  <c r="P19" i="31"/>
  <c r="J34" i="51" s="1"/>
  <c r="Q29" i="19"/>
  <c r="AC14" i="20"/>
  <c r="AC15" i="20" s="1"/>
  <c r="AC20" i="20"/>
  <c r="AC21" i="20" s="1"/>
  <c r="AC14" i="18"/>
  <c r="AC29" i="18"/>
  <c r="Q38" i="19"/>
  <c r="Q31" i="19"/>
  <c r="AE28" i="16"/>
  <c r="AE14" i="16"/>
  <c r="Q26" i="20"/>
  <c r="Q27" i="20" s="1"/>
  <c r="O21" i="28"/>
  <c r="N25" i="31"/>
  <c r="H40" i="51" s="1"/>
  <c r="O36" i="9"/>
  <c r="N28" i="9"/>
  <c r="N30" i="9" s="1"/>
  <c r="K11" i="31"/>
  <c r="K9" i="8"/>
  <c r="L11" i="9"/>
  <c r="AI18" i="34"/>
  <c r="AC57" i="51" s="1"/>
  <c r="M77" i="20"/>
  <c r="M78" i="20" s="1"/>
  <c r="M69" i="20"/>
  <c r="P76" i="20"/>
  <c r="P48" i="20"/>
  <c r="P81" i="20"/>
  <c r="AC34" i="13"/>
  <c r="AC9" i="31" s="1"/>
  <c r="W24" i="51" s="1"/>
  <c r="AD29" i="13"/>
  <c r="AD16" i="37"/>
  <c r="AD71" i="12"/>
  <c r="AD73" i="12" s="1"/>
  <c r="AD63" i="12"/>
  <c r="AD65" i="12" s="1"/>
  <c r="P16" i="38"/>
  <c r="AC39" i="16"/>
  <c r="AC40" i="16" s="1"/>
  <c r="AD10" i="37"/>
  <c r="Y26" i="49" s="1"/>
  <c r="AD24" i="12"/>
  <c r="AD26" i="12" s="1"/>
  <c r="AD31" i="12" s="1"/>
  <c r="AD33" i="12" s="1"/>
  <c r="AE20" i="10"/>
  <c r="P10" i="38"/>
  <c r="AC46" i="18"/>
  <c r="AC47" i="18" s="1"/>
  <c r="AC33" i="18"/>
  <c r="AC42" i="18"/>
  <c r="AC13" i="28"/>
  <c r="E26" i="51" l="1"/>
  <c r="F7" i="49"/>
  <c r="W9" i="51"/>
  <c r="X20" i="49"/>
  <c r="I17" i="51"/>
  <c r="J24" i="49"/>
  <c r="AC14" i="28"/>
  <c r="J15" i="35"/>
  <c r="K12" i="31"/>
  <c r="E27" i="51" s="1"/>
  <c r="O22" i="28"/>
  <c r="N27" i="31"/>
  <c r="H42" i="51" s="1"/>
  <c r="N16" i="22"/>
  <c r="AC16" i="28"/>
  <c r="AE20" i="34"/>
  <c r="Y59" i="51" s="1"/>
  <c r="AC34" i="20"/>
  <c r="AC48" i="17"/>
  <c r="AC34" i="17"/>
  <c r="AD11" i="37"/>
  <c r="AD20" i="17"/>
  <c r="AD22" i="17" s="1"/>
  <c r="AD13" i="15"/>
  <c r="AD14" i="15" s="1"/>
  <c r="AD21" i="13"/>
  <c r="AD24" i="13" s="1"/>
  <c r="AD39" i="12"/>
  <c r="AJ41" i="12" s="1"/>
  <c r="AD48" i="12"/>
  <c r="AD50" i="12" s="1"/>
  <c r="AD17" i="9"/>
  <c r="AD18" i="9" s="1"/>
  <c r="P11" i="38"/>
  <c r="AC32" i="16"/>
  <c r="AC45" i="16"/>
  <c r="AC46" i="16" s="1"/>
  <c r="AC41" i="16"/>
  <c r="AC25" i="20"/>
  <c r="AC39" i="20"/>
  <c r="W15" i="31"/>
  <c r="Q30" i="51" s="1"/>
  <c r="X28" i="15"/>
  <c r="X36" i="15" s="1"/>
  <c r="M20" i="31"/>
  <c r="G35" i="51" s="1"/>
  <c r="N75" i="20"/>
  <c r="Q10" i="34"/>
  <c r="K49" i="51" s="1"/>
  <c r="AD21" i="19"/>
  <c r="AD43" i="15"/>
  <c r="AD45" i="15" s="1"/>
  <c r="AD21" i="15"/>
  <c r="AF22" i="15" s="1"/>
  <c r="AC34" i="18"/>
  <c r="AC48" i="18"/>
  <c r="AC22" i="34"/>
  <c r="W61" i="51" s="1"/>
  <c r="Q48" i="19"/>
  <c r="Q51" i="19" s="1"/>
  <c r="Q36" i="19" s="1"/>
  <c r="R37" i="19" s="1"/>
  <c r="Q32" i="19"/>
  <c r="L29" i="34"/>
  <c r="F68" i="51" s="1"/>
  <c r="J26" i="35"/>
  <c r="AC35" i="17"/>
  <c r="AC13" i="17" s="1"/>
  <c r="AC15" i="17" s="1"/>
  <c r="AD15" i="37"/>
  <c r="Y28" i="49" s="1"/>
  <c r="AE60" i="12"/>
  <c r="P15" i="38"/>
  <c r="AC18" i="28"/>
  <c r="AC35" i="18"/>
  <c r="AC13" i="18" s="1"/>
  <c r="AC15" i="18" s="1"/>
  <c r="P21" i="28"/>
  <c r="AE28" i="10"/>
  <c r="AD17" i="37"/>
  <c r="Y29" i="49" s="1"/>
  <c r="AE70" i="12"/>
  <c r="AD17" i="11"/>
  <c r="AD18" i="11" s="1"/>
  <c r="P17" i="38"/>
  <c r="M11" i="34"/>
  <c r="G50" i="51" s="1"/>
  <c r="Q40" i="20"/>
  <c r="Q41" i="20" s="1"/>
  <c r="Q46" i="20" s="1"/>
  <c r="Q47" i="20" s="1"/>
  <c r="Q35" i="20"/>
  <c r="Q36" i="20" s="1"/>
  <c r="R33" i="20" s="1"/>
  <c r="AC30" i="19"/>
  <c r="AC49" i="19"/>
  <c r="W10" i="51" l="1"/>
  <c r="X14" i="49"/>
  <c r="J17" i="51"/>
  <c r="K24" i="49"/>
  <c r="W12" i="51"/>
  <c r="X21" i="49"/>
  <c r="W14" i="51"/>
  <c r="X23" i="49"/>
  <c r="I18" i="51"/>
  <c r="J16" i="49"/>
  <c r="K22" i="9"/>
  <c r="K24" i="9" s="1"/>
  <c r="P22" i="28"/>
  <c r="M12" i="34"/>
  <c r="G51" i="51" s="1"/>
  <c r="O37" i="9"/>
  <c r="O38" i="9" s="1"/>
  <c r="O25" i="31" s="1"/>
  <c r="I40" i="51" s="1"/>
  <c r="M21" i="31"/>
  <c r="G36" i="51" s="1"/>
  <c r="O28" i="9"/>
  <c r="O30" i="9" s="1"/>
  <c r="AJ13" i="37"/>
  <c r="AJ20" i="18"/>
  <c r="AJ22" i="18" s="1"/>
  <c r="AJ61" i="12"/>
  <c r="AJ49" i="12"/>
  <c r="R13" i="38"/>
  <c r="AC18" i="31"/>
  <c r="AD11" i="18"/>
  <c r="AC17" i="28"/>
  <c r="AD8" i="31"/>
  <c r="X23" i="51" s="1"/>
  <c r="AE20" i="13"/>
  <c r="P8" i="32"/>
  <c r="P37" i="9"/>
  <c r="AC33" i="16"/>
  <c r="AC34" i="16" s="1"/>
  <c r="AC13" i="16" s="1"/>
  <c r="AC15" i="16" s="1"/>
  <c r="AC47" i="16"/>
  <c r="AD15" i="15"/>
  <c r="AD32" i="15"/>
  <c r="Q19" i="31"/>
  <c r="K34" i="51" s="1"/>
  <c r="R29" i="19"/>
  <c r="N66" i="20"/>
  <c r="N68" i="20" s="1"/>
  <c r="AD17" i="34"/>
  <c r="X56" i="51" s="1"/>
  <c r="AD12" i="17"/>
  <c r="AD27" i="17"/>
  <c r="AJ28" i="17" s="1"/>
  <c r="P17" i="35"/>
  <c r="AD10" i="31"/>
  <c r="X25" i="51" s="1"/>
  <c r="AE41" i="15"/>
  <c r="P10" i="32"/>
  <c r="AD8" i="28"/>
  <c r="AD19" i="16"/>
  <c r="AD21" i="16" s="1"/>
  <c r="AD26" i="11"/>
  <c r="AD27" i="11" s="1"/>
  <c r="P8" i="29"/>
  <c r="R38" i="19"/>
  <c r="R31" i="19"/>
  <c r="AC25" i="34"/>
  <c r="W64" i="51" s="1"/>
  <c r="AE27" i="10"/>
  <c r="AE29" i="10" s="1"/>
  <c r="X15" i="31"/>
  <c r="R30" i="51" s="1"/>
  <c r="Y28" i="15"/>
  <c r="Y36" i="15" s="1"/>
  <c r="N15" i="32"/>
  <c r="L12" i="9"/>
  <c r="L13" i="9" s="1"/>
  <c r="J29" i="35"/>
  <c r="AC16" i="31"/>
  <c r="AD11" i="17"/>
  <c r="AD29" i="15"/>
  <c r="AD10" i="12"/>
  <c r="AD11" i="12" s="1"/>
  <c r="AC23" i="34"/>
  <c r="W62" i="51" s="1"/>
  <c r="AF8" i="34"/>
  <c r="Z47" i="51" s="1"/>
  <c r="AF44" i="15"/>
  <c r="R26" i="20"/>
  <c r="R27" i="20" s="1"/>
  <c r="Q48" i="20"/>
  <c r="Q21" i="28" s="1"/>
  <c r="Q76" i="20"/>
  <c r="Q81" i="20"/>
  <c r="AD12" i="37"/>
  <c r="Y27" i="49" s="1"/>
  <c r="AD12" i="13"/>
  <c r="AD13" i="13" s="1"/>
  <c r="AE47" i="12"/>
  <c r="P12" i="38"/>
  <c r="Y12" i="49" l="1"/>
  <c r="X4" i="51"/>
  <c r="J18" i="51"/>
  <c r="K16" i="49"/>
  <c r="K17" i="51"/>
  <c r="L24" i="49"/>
  <c r="W13" i="51"/>
  <c r="X22" i="49"/>
  <c r="K25" i="32"/>
  <c r="W31" i="51"/>
  <c r="X9" i="49"/>
  <c r="J25" i="33"/>
  <c r="M15" i="34"/>
  <c r="G54" i="51" s="1"/>
  <c r="W33" i="51"/>
  <c r="X10" i="49"/>
  <c r="P36" i="9"/>
  <c r="P38" i="9" s="1"/>
  <c r="AD11" i="28"/>
  <c r="AC19" i="28"/>
  <c r="M23" i="9"/>
  <c r="Q22" i="28"/>
  <c r="K23" i="31"/>
  <c r="E38" i="51" s="1"/>
  <c r="K15" i="22"/>
  <c r="K17" i="22" s="1"/>
  <c r="K21" i="22" s="1"/>
  <c r="Y15" i="31"/>
  <c r="S30" i="51" s="1"/>
  <c r="Z28" i="15"/>
  <c r="Z36" i="15" s="1"/>
  <c r="AD9" i="19"/>
  <c r="AD11" i="19" s="1"/>
  <c r="AD22" i="19" s="1"/>
  <c r="AD23" i="19" s="1"/>
  <c r="AD30" i="15"/>
  <c r="AC82" i="20"/>
  <c r="AJ21" i="34"/>
  <c r="AD60" i="51" s="1"/>
  <c r="AJ12" i="18"/>
  <c r="R21" i="35"/>
  <c r="R10" i="34"/>
  <c r="L49" i="51" s="1"/>
  <c r="L10" i="35"/>
  <c r="N77" i="20"/>
  <c r="N78" i="20" s="1"/>
  <c r="N69" i="20"/>
  <c r="AD27" i="18"/>
  <c r="AD28" i="18" s="1"/>
  <c r="AD40" i="18"/>
  <c r="AD41" i="18" s="1"/>
  <c r="R35" i="20"/>
  <c r="R36" i="20" s="1"/>
  <c r="S33" i="20" s="1"/>
  <c r="R40" i="20"/>
  <c r="R41" i="20" s="1"/>
  <c r="R46" i="20" s="1"/>
  <c r="R47" i="20" s="1"/>
  <c r="AE53" i="12"/>
  <c r="AE54" i="12" s="1"/>
  <c r="AE11" i="11"/>
  <c r="AE12" i="11" s="1"/>
  <c r="AE23" i="10"/>
  <c r="AE24" i="10" s="1"/>
  <c r="R48" i="19"/>
  <c r="R51" i="19" s="1"/>
  <c r="R36" i="19" s="1"/>
  <c r="S37" i="19" s="1"/>
  <c r="R32" i="19"/>
  <c r="AC17" i="31"/>
  <c r="AD11" i="16"/>
  <c r="M26" i="34"/>
  <c r="G65" i="51" s="1"/>
  <c r="AD40" i="17"/>
  <c r="AD41" i="17" s="1"/>
  <c r="L11" i="31"/>
  <c r="M11" i="9"/>
  <c r="L9" i="8"/>
  <c r="J11" i="32"/>
  <c r="AD14" i="31"/>
  <c r="X29" i="51" s="1"/>
  <c r="AE24" i="11"/>
  <c r="P14" i="32"/>
  <c r="AJ14" i="17"/>
  <c r="AJ29" i="17"/>
  <c r="AE11" i="13"/>
  <c r="AE25" i="12"/>
  <c r="AD19" i="34"/>
  <c r="X58" i="51" s="1"/>
  <c r="AD26" i="16"/>
  <c r="AF27" i="16" s="1"/>
  <c r="AD12" i="16"/>
  <c r="P19" i="35"/>
  <c r="AD14" i="34"/>
  <c r="X53" i="51" s="1"/>
  <c r="P14" i="35"/>
  <c r="O27" i="31"/>
  <c r="I42" i="51" s="1"/>
  <c r="O16" i="22"/>
  <c r="K27" i="32"/>
  <c r="J27" i="33"/>
  <c r="AD30" i="13"/>
  <c r="AD33" i="13" s="1"/>
  <c r="AD14" i="13"/>
  <c r="AD9" i="20"/>
  <c r="AD10" i="20" s="1"/>
  <c r="P11" i="29"/>
  <c r="AC24" i="34"/>
  <c r="W63" i="51" s="1"/>
  <c r="W32" i="51" l="1"/>
  <c r="X8" i="49"/>
  <c r="K18" i="51"/>
  <c r="L16" i="49"/>
  <c r="F26" i="51"/>
  <c r="G7" i="49"/>
  <c r="W15" i="51"/>
  <c r="X15" i="49"/>
  <c r="X7" i="51"/>
  <c r="Y13" i="49"/>
  <c r="L12" i="31"/>
  <c r="F27" i="51" s="1"/>
  <c r="Q37" i="9"/>
  <c r="S38" i="19"/>
  <c r="S31" i="19"/>
  <c r="AD29" i="18"/>
  <c r="AD14" i="18"/>
  <c r="AD13" i="28"/>
  <c r="P13" i="29"/>
  <c r="AD34" i="13"/>
  <c r="AE29" i="13"/>
  <c r="AE10" i="37"/>
  <c r="Z26" i="49" s="1"/>
  <c r="AE24" i="12"/>
  <c r="AE26" i="12" s="1"/>
  <c r="AE31" i="12" s="1"/>
  <c r="AE33" i="12" s="1"/>
  <c r="AF20" i="10"/>
  <c r="P25" i="31"/>
  <c r="J40" i="51" s="1"/>
  <c r="P28" i="9"/>
  <c r="P30" i="9" s="1"/>
  <c r="Q36" i="9"/>
  <c r="AE16" i="19"/>
  <c r="AE17" i="19" s="1"/>
  <c r="AE42" i="15"/>
  <c r="AE20" i="15"/>
  <c r="AE25" i="11"/>
  <c r="N11" i="34"/>
  <c r="H50" i="51" s="1"/>
  <c r="M29" i="34"/>
  <c r="G68" i="51" s="1"/>
  <c r="AE16" i="37"/>
  <c r="AE63" i="12"/>
  <c r="AE65" i="12" s="1"/>
  <c r="AE71" i="12"/>
  <c r="AE73" i="12" s="1"/>
  <c r="N20" i="31"/>
  <c r="H35" i="51" s="1"/>
  <c r="O75" i="20"/>
  <c r="R76" i="20"/>
  <c r="R81" i="20"/>
  <c r="R48" i="20"/>
  <c r="R21" i="28" s="1"/>
  <c r="AJ18" i="34"/>
  <c r="AD57" i="51" s="1"/>
  <c r="R18" i="35"/>
  <c r="L22" i="9"/>
  <c r="L24" i="9" s="1"/>
  <c r="J12" i="32"/>
  <c r="AD39" i="16"/>
  <c r="AD40" i="16" s="1"/>
  <c r="S26" i="20"/>
  <c r="S27" i="20" s="1"/>
  <c r="AD49" i="19"/>
  <c r="AD30" i="19"/>
  <c r="AF28" i="16"/>
  <c r="AF14" i="16"/>
  <c r="AD14" i="20"/>
  <c r="AD15" i="20" s="1"/>
  <c r="AD20" i="20"/>
  <c r="AD21" i="20" s="1"/>
  <c r="Z15" i="31"/>
  <c r="T30" i="51" s="1"/>
  <c r="AA28" i="15"/>
  <c r="AA36" i="15" s="1"/>
  <c r="AD42" i="17"/>
  <c r="AD46" i="17"/>
  <c r="AD47" i="17" s="1"/>
  <c r="AD33" i="17"/>
  <c r="R19" i="31"/>
  <c r="L34" i="51" s="1"/>
  <c r="S29" i="19"/>
  <c r="L19" i="32"/>
  <c r="AD46" i="18"/>
  <c r="AD47" i="18" s="1"/>
  <c r="AD33" i="18"/>
  <c r="AD42" i="18"/>
  <c r="L17" i="51" l="1"/>
  <c r="M24" i="49"/>
  <c r="X9" i="51"/>
  <c r="Y20" i="49"/>
  <c r="R22" i="28"/>
  <c r="N12" i="34"/>
  <c r="H51" i="51" s="1"/>
  <c r="N21" i="31"/>
  <c r="H36" i="51" s="1"/>
  <c r="Q38" i="9"/>
  <c r="Q25" i="31" s="1"/>
  <c r="K40" i="51" s="1"/>
  <c r="AD14" i="28"/>
  <c r="AE17" i="37"/>
  <c r="Z29" i="49" s="1"/>
  <c r="AE17" i="11"/>
  <c r="AE18" i="11" s="1"/>
  <c r="AF70" i="12"/>
  <c r="P27" i="31"/>
  <c r="J42" i="51" s="1"/>
  <c r="P16" i="22"/>
  <c r="AE15" i="37"/>
  <c r="Z28" i="49" s="1"/>
  <c r="AF60" i="12"/>
  <c r="L23" i="31"/>
  <c r="F38" i="51" s="1"/>
  <c r="L15" i="22"/>
  <c r="L17" i="22" s="1"/>
  <c r="L21" i="22" s="1"/>
  <c r="J23" i="32"/>
  <c r="N15" i="34"/>
  <c r="H54" i="51" s="1"/>
  <c r="AF28" i="10"/>
  <c r="P14" i="29"/>
  <c r="AD32" i="16"/>
  <c r="AD45" i="16"/>
  <c r="AD46" i="16" s="1"/>
  <c r="AD41" i="16"/>
  <c r="AE11" i="37"/>
  <c r="AE20" i="17"/>
  <c r="AE22" i="17" s="1"/>
  <c r="AE13" i="15"/>
  <c r="AE14" i="15" s="1"/>
  <c r="AE21" i="13"/>
  <c r="AE24" i="13" s="1"/>
  <c r="AE39" i="12"/>
  <c r="AK41" i="12" s="1"/>
  <c r="AE48" i="12"/>
  <c r="AE50" i="12" s="1"/>
  <c r="AE17" i="9"/>
  <c r="AE18" i="9" s="1"/>
  <c r="AF20" i="34"/>
  <c r="Z59" i="51" s="1"/>
  <c r="AD16" i="28"/>
  <c r="P16" i="29"/>
  <c r="AD48" i="18"/>
  <c r="AD34" i="18"/>
  <c r="AD35" i="18" s="1"/>
  <c r="AD13" i="18" s="1"/>
  <c r="AD15" i="18" s="1"/>
  <c r="O66" i="20"/>
  <c r="O68" i="20" s="1"/>
  <c r="AD22" i="34"/>
  <c r="X61" i="51" s="1"/>
  <c r="P22" i="35"/>
  <c r="AD48" i="17"/>
  <c r="AD34" i="17"/>
  <c r="AD35" i="17" s="1"/>
  <c r="AD13" i="17" s="1"/>
  <c r="AD15" i="17" s="1"/>
  <c r="AA15" i="31"/>
  <c r="U30" i="51" s="1"/>
  <c r="AB28" i="15"/>
  <c r="AB36" i="15" s="1"/>
  <c r="O15" i="32"/>
  <c r="L15" i="33"/>
  <c r="S48" i="19"/>
  <c r="S51" i="19" s="1"/>
  <c r="S36" i="19" s="1"/>
  <c r="T37" i="19" s="1"/>
  <c r="S32" i="19"/>
  <c r="AD34" i="20"/>
  <c r="S40" i="20"/>
  <c r="S41" i="20" s="1"/>
  <c r="S46" i="20" s="1"/>
  <c r="S47" i="20" s="1"/>
  <c r="S35" i="20"/>
  <c r="S36" i="20" s="1"/>
  <c r="T33" i="20" s="1"/>
  <c r="M12" i="9"/>
  <c r="M13" i="9" s="1"/>
  <c r="AE21" i="19"/>
  <c r="AE43" i="15"/>
  <c r="AE45" i="15" s="1"/>
  <c r="AE21" i="15"/>
  <c r="AG22" i="15" s="1"/>
  <c r="S10" i="34"/>
  <c r="M49" i="51" s="1"/>
  <c r="AD18" i="28"/>
  <c r="P18" i="29"/>
  <c r="AD25" i="20"/>
  <c r="AD39" i="20"/>
  <c r="AD9" i="31"/>
  <c r="X24" i="51" s="1"/>
  <c r="P9" i="32"/>
  <c r="L18" i="51" l="1"/>
  <c r="M16" i="49"/>
  <c r="X12" i="51"/>
  <c r="Y21" i="49"/>
  <c r="X14" i="51"/>
  <c r="Y23" i="49"/>
  <c r="X10" i="51"/>
  <c r="Y14" i="49"/>
  <c r="N23" i="9"/>
  <c r="Q28" i="9"/>
  <c r="Q30" i="9" s="1"/>
  <c r="Q27" i="31" s="1"/>
  <c r="K42" i="51" s="1"/>
  <c r="R36" i="9"/>
  <c r="R37" i="9"/>
  <c r="AD18" i="31"/>
  <c r="AE11" i="18"/>
  <c r="P18" i="32"/>
  <c r="AG8" i="34"/>
  <c r="AA47" i="51" s="1"/>
  <c r="AG44" i="15"/>
  <c r="Q8" i="35"/>
  <c r="Q16" i="22"/>
  <c r="S19" i="31"/>
  <c r="M34" i="51" s="1"/>
  <c r="T29" i="19"/>
  <c r="AE17" i="34"/>
  <c r="Y56" i="51" s="1"/>
  <c r="AE27" i="17"/>
  <c r="AK28" i="17" s="1"/>
  <c r="AE12" i="17"/>
  <c r="AF27" i="10"/>
  <c r="AF29" i="10" s="1"/>
  <c r="T31" i="19"/>
  <c r="T38" i="19"/>
  <c r="T10" i="34" s="1"/>
  <c r="N49" i="51" s="1"/>
  <c r="O69" i="20"/>
  <c r="O11" i="34" s="1"/>
  <c r="I50" i="51" s="1"/>
  <c r="O77" i="20"/>
  <c r="O78" i="20" s="1"/>
  <c r="AD17" i="28"/>
  <c r="P17" i="29"/>
  <c r="M11" i="31"/>
  <c r="N11" i="9"/>
  <c r="M9" i="8"/>
  <c r="AD16" i="31"/>
  <c r="AE11" i="17"/>
  <c r="P16" i="32"/>
  <c r="AD25" i="34"/>
  <c r="X64" i="51" s="1"/>
  <c r="P25" i="35"/>
  <c r="AE29" i="15"/>
  <c r="AE10" i="12"/>
  <c r="AE11" i="12" s="1"/>
  <c r="AD47" i="16"/>
  <c r="AD33" i="16"/>
  <c r="AD34" i="16" s="1"/>
  <c r="AD13" i="16" s="1"/>
  <c r="AD15" i="16" s="1"/>
  <c r="AE12" i="37"/>
  <c r="Z27" i="49" s="1"/>
  <c r="AE12" i="13"/>
  <c r="AE13" i="13" s="1"/>
  <c r="AF47" i="12"/>
  <c r="N26" i="34"/>
  <c r="H65" i="51" s="1"/>
  <c r="AK13" i="37"/>
  <c r="AK20" i="18"/>
  <c r="AK22" i="18" s="1"/>
  <c r="AK61" i="12"/>
  <c r="AK49" i="12"/>
  <c r="AE8" i="28"/>
  <c r="AE19" i="16"/>
  <c r="AE21" i="16" s="1"/>
  <c r="AE26" i="11"/>
  <c r="AE27" i="11" s="1"/>
  <c r="AD23" i="34"/>
  <c r="X62" i="51" s="1"/>
  <c r="P23" i="35"/>
  <c r="AE10" i="31"/>
  <c r="Y25" i="51" s="1"/>
  <c r="AF41" i="15"/>
  <c r="AE8" i="31"/>
  <c r="Y23" i="51" s="1"/>
  <c r="AF20" i="13"/>
  <c r="T26" i="20"/>
  <c r="T27" i="20" s="1"/>
  <c r="S81" i="20"/>
  <c r="S48" i="20"/>
  <c r="S76" i="20"/>
  <c r="AB15" i="31"/>
  <c r="V30" i="51" s="1"/>
  <c r="AC28" i="15"/>
  <c r="AC36" i="15" s="1"/>
  <c r="AE15" i="15"/>
  <c r="AE32" i="15"/>
  <c r="Y4" i="51" l="1"/>
  <c r="Z12" i="49"/>
  <c r="G26" i="51"/>
  <c r="H7" i="49"/>
  <c r="X13" i="51"/>
  <c r="Y22" i="49"/>
  <c r="X33" i="51"/>
  <c r="Y10" i="49"/>
  <c r="X31" i="51"/>
  <c r="Y9" i="49"/>
  <c r="R38" i="9"/>
  <c r="R25" i="31" s="1"/>
  <c r="L40" i="51" s="1"/>
  <c r="M12" i="31"/>
  <c r="G27" i="51" s="1"/>
  <c r="AD19" i="28"/>
  <c r="S36" i="9"/>
  <c r="O12" i="34"/>
  <c r="I51" i="51" s="1"/>
  <c r="R28" i="9"/>
  <c r="R30" i="9" s="1"/>
  <c r="R27" i="31" s="1"/>
  <c r="L42" i="51" s="1"/>
  <c r="AE11" i="28"/>
  <c r="S21" i="28"/>
  <c r="AE14" i="31"/>
  <c r="Y29" i="51" s="1"/>
  <c r="AF24" i="11"/>
  <c r="AK21" i="34"/>
  <c r="AE60" i="51" s="1"/>
  <c r="AK12" i="18"/>
  <c r="AE14" i="13"/>
  <c r="AE30" i="13"/>
  <c r="AE33" i="13" s="1"/>
  <c r="T48" i="19"/>
  <c r="T51" i="19" s="1"/>
  <c r="T36" i="19" s="1"/>
  <c r="U37" i="19" s="1"/>
  <c r="T32" i="19"/>
  <c r="AF25" i="12"/>
  <c r="AE9" i="20"/>
  <c r="AE10" i="20" s="1"/>
  <c r="AE40" i="17"/>
  <c r="AE41" i="17" s="1"/>
  <c r="AF53" i="12"/>
  <c r="AF54" i="12" s="1"/>
  <c r="AF11" i="11"/>
  <c r="AF12" i="11" s="1"/>
  <c r="AF23" i="10"/>
  <c r="AF24" i="10" s="1"/>
  <c r="T40" i="20"/>
  <c r="T41" i="20" s="1"/>
  <c r="T46" i="20" s="1"/>
  <c r="T47" i="20" s="1"/>
  <c r="T35" i="20"/>
  <c r="T36" i="20" s="1"/>
  <c r="U33" i="20" s="1"/>
  <c r="AD24" i="34"/>
  <c r="X63" i="51" s="1"/>
  <c r="P24" i="35"/>
  <c r="AE9" i="19"/>
  <c r="AE11" i="19" s="1"/>
  <c r="AE22" i="19" s="1"/>
  <c r="AE23" i="19" s="1"/>
  <c r="AE30" i="15"/>
  <c r="AE14" i="34"/>
  <c r="Y53" i="51" s="1"/>
  <c r="AC15" i="31"/>
  <c r="W30" i="51" s="1"/>
  <c r="AD28" i="15"/>
  <c r="AD36" i="15" s="1"/>
  <c r="AF11" i="13"/>
  <c r="N29" i="34"/>
  <c r="H68" i="51" s="1"/>
  <c r="O20" i="31"/>
  <c r="I35" i="51" s="1"/>
  <c r="P75" i="20"/>
  <c r="J20" i="33"/>
  <c r="K20" i="32"/>
  <c r="AE40" i="18"/>
  <c r="AE41" i="18" s="1"/>
  <c r="AE27" i="18"/>
  <c r="AE28" i="18" s="1"/>
  <c r="AE19" i="34"/>
  <c r="Y58" i="51" s="1"/>
  <c r="AE26" i="16"/>
  <c r="AG27" i="16" s="1"/>
  <c r="AE12" i="16"/>
  <c r="AD17" i="31"/>
  <c r="AE11" i="16"/>
  <c r="P17" i="32"/>
  <c r="AK29" i="17"/>
  <c r="AK14" i="17"/>
  <c r="X32" i="51" l="1"/>
  <c r="Y8" i="49"/>
  <c r="X15" i="51"/>
  <c r="Y15" i="49"/>
  <c r="M17" i="51"/>
  <c r="N24" i="49"/>
  <c r="Y7" i="51"/>
  <c r="Z13" i="49"/>
  <c r="R16" i="22"/>
  <c r="S22" i="28"/>
  <c r="O15" i="34"/>
  <c r="I54" i="51" s="1"/>
  <c r="P19" i="29"/>
  <c r="M22" i="9"/>
  <c r="M24" i="9" s="1"/>
  <c r="AD82" i="20"/>
  <c r="O21" i="31"/>
  <c r="I36" i="51" s="1"/>
  <c r="P66" i="20"/>
  <c r="P68" i="20" s="1"/>
  <c r="AD15" i="31"/>
  <c r="X30" i="51" s="1"/>
  <c r="AE28" i="15"/>
  <c r="AE36" i="15" s="1"/>
  <c r="P15" i="32"/>
  <c r="AF16" i="19"/>
  <c r="AF17" i="19" s="1"/>
  <c r="AF42" i="15"/>
  <c r="AF20" i="15"/>
  <c r="AF25" i="11"/>
  <c r="AF16" i="37"/>
  <c r="AF71" i="12"/>
  <c r="AF73" i="12" s="1"/>
  <c r="AF63" i="12"/>
  <c r="AF65" i="12" s="1"/>
  <c r="T19" i="31"/>
  <c r="N34" i="51" s="1"/>
  <c r="U29" i="19"/>
  <c r="AG14" i="16"/>
  <c r="AG28" i="16"/>
  <c r="AE46" i="17"/>
  <c r="AE47" i="17" s="1"/>
  <c r="AE42" i="17"/>
  <c r="AE33" i="17"/>
  <c r="U38" i="19"/>
  <c r="U10" i="34" s="1"/>
  <c r="O49" i="51" s="1"/>
  <c r="U31" i="19"/>
  <c r="U26" i="20"/>
  <c r="U27" i="20" s="1"/>
  <c r="AE39" i="16"/>
  <c r="AE40" i="16" s="1"/>
  <c r="T81" i="20"/>
  <c r="T76" i="20"/>
  <c r="T48" i="20"/>
  <c r="AE29" i="18"/>
  <c r="AE14" i="18"/>
  <c r="AE42" i="18"/>
  <c r="AE46" i="18"/>
  <c r="AE47" i="18" s="1"/>
  <c r="AE33" i="18"/>
  <c r="N12" i="9"/>
  <c r="N13" i="9" s="1"/>
  <c r="AK18" i="34"/>
  <c r="AE57" i="51" s="1"/>
  <c r="AE14" i="20"/>
  <c r="AE15" i="20" s="1"/>
  <c r="AE20" i="20"/>
  <c r="AE21" i="20" s="1"/>
  <c r="AE34" i="20" s="1"/>
  <c r="AE34" i="13"/>
  <c r="AE9" i="31" s="1"/>
  <c r="Y24" i="51" s="1"/>
  <c r="AF29" i="13"/>
  <c r="O23" i="9"/>
  <c r="K21" i="32"/>
  <c r="J21" i="33"/>
  <c r="AE49" i="19"/>
  <c r="AE30" i="19"/>
  <c r="AF10" i="37"/>
  <c r="AA26" i="49" s="1"/>
  <c r="AF24" i="12"/>
  <c r="AF26" i="12" s="1"/>
  <c r="AF31" i="12" s="1"/>
  <c r="AF33" i="12" s="1"/>
  <c r="AG20" i="10"/>
  <c r="AE13" i="28"/>
  <c r="Y9" i="51" l="1"/>
  <c r="Z20" i="49"/>
  <c r="M18" i="51"/>
  <c r="N16" i="49"/>
  <c r="M23" i="31"/>
  <c r="G38" i="51" s="1"/>
  <c r="M15" i="22"/>
  <c r="M17" i="22" s="1"/>
  <c r="M21" i="22" s="1"/>
  <c r="S37" i="9"/>
  <c r="S38" i="9" s="1"/>
  <c r="AE14" i="28"/>
  <c r="O26" i="34"/>
  <c r="I65" i="51" s="1"/>
  <c r="K15" i="35"/>
  <c r="AE25" i="20"/>
  <c r="AE39" i="20"/>
  <c r="AE34" i="18"/>
  <c r="AE35" i="18" s="1"/>
  <c r="AE13" i="18" s="1"/>
  <c r="AE15" i="18" s="1"/>
  <c r="AE48" i="18"/>
  <c r="AF15" i="37"/>
  <c r="AA28" i="49" s="1"/>
  <c r="AG60" i="12"/>
  <c r="AE15" i="31"/>
  <c r="Y30" i="51" s="1"/>
  <c r="AF28" i="15"/>
  <c r="AE18" i="28"/>
  <c r="AE16" i="28"/>
  <c r="AF17" i="37"/>
  <c r="AA29" i="49" s="1"/>
  <c r="AG70" i="12"/>
  <c r="AF17" i="11"/>
  <c r="AF18" i="11" s="1"/>
  <c r="AE45" i="16"/>
  <c r="AE46" i="16" s="1"/>
  <c r="AE41" i="16"/>
  <c r="AE32" i="16"/>
  <c r="AE34" i="17"/>
  <c r="AE35" i="17" s="1"/>
  <c r="AE13" i="17" s="1"/>
  <c r="AE15" i="17" s="1"/>
  <c r="AE48" i="17"/>
  <c r="AF11" i="37"/>
  <c r="AF20" i="17"/>
  <c r="AF22" i="17" s="1"/>
  <c r="AF13" i="15"/>
  <c r="AF14" i="15" s="1"/>
  <c r="AF21" i="13"/>
  <c r="AF24" i="13" s="1"/>
  <c r="AF48" i="12"/>
  <c r="AF50" i="12" s="1"/>
  <c r="AF39" i="12"/>
  <c r="AL41" i="12" s="1"/>
  <c r="AF17" i="9"/>
  <c r="AF18" i="9" s="1"/>
  <c r="AE22" i="34"/>
  <c r="Y61" i="51" s="1"/>
  <c r="AG20" i="34"/>
  <c r="AA59" i="51" s="1"/>
  <c r="Q20" i="35"/>
  <c r="P69" i="20"/>
  <c r="P77" i="20"/>
  <c r="P78" i="20" s="1"/>
  <c r="U40" i="20"/>
  <c r="U41" i="20" s="1"/>
  <c r="U46" i="20" s="1"/>
  <c r="U47" i="20" s="1"/>
  <c r="U35" i="20"/>
  <c r="U36" i="20" s="1"/>
  <c r="V33" i="20" s="1"/>
  <c r="AG28" i="10"/>
  <c r="U48" i="19"/>
  <c r="U51" i="19" s="1"/>
  <c r="U36" i="19" s="1"/>
  <c r="V37" i="19" s="1"/>
  <c r="U32" i="19"/>
  <c r="N11" i="31"/>
  <c r="N9" i="8"/>
  <c r="O11" i="9"/>
  <c r="T21" i="28"/>
  <c r="AF21" i="19"/>
  <c r="AF43" i="15"/>
  <c r="AF45" i="15" s="1"/>
  <c r="AF21" i="15"/>
  <c r="AH22" i="15" s="1"/>
  <c r="H26" i="51" l="1"/>
  <c r="I7" i="49"/>
  <c r="Y12" i="51"/>
  <c r="Z21" i="49"/>
  <c r="Y14" i="51"/>
  <c r="Z23" i="49"/>
  <c r="Y10" i="51"/>
  <c r="Z14" i="49"/>
  <c r="N17" i="51"/>
  <c r="O24" i="49"/>
  <c r="S25" i="31"/>
  <c r="M40" i="51" s="1"/>
  <c r="S28" i="9"/>
  <c r="S30" i="9" s="1"/>
  <c r="T36" i="9"/>
  <c r="N12" i="31"/>
  <c r="H27" i="51" s="1"/>
  <c r="T22" i="28"/>
  <c r="O29" i="34"/>
  <c r="I68" i="51" s="1"/>
  <c r="K26" i="35"/>
  <c r="AE18" i="31"/>
  <c r="AF11" i="18"/>
  <c r="AF10" i="31"/>
  <c r="Z25" i="51" s="1"/>
  <c r="AG41" i="15"/>
  <c r="AF12" i="37"/>
  <c r="AA27" i="49" s="1"/>
  <c r="AF12" i="13"/>
  <c r="AF13" i="13" s="1"/>
  <c r="AG47" i="12"/>
  <c r="AE17" i="28"/>
  <c r="AE16" i="31"/>
  <c r="AF11" i="17"/>
  <c r="U19" i="31"/>
  <c r="O34" i="51" s="1"/>
  <c r="V29" i="19"/>
  <c r="J19" i="24"/>
  <c r="D34" i="50" s="1"/>
  <c r="M19" i="32"/>
  <c r="K19" i="33"/>
  <c r="AF8" i="31"/>
  <c r="Z23" i="51" s="1"/>
  <c r="AG20" i="13"/>
  <c r="AE47" i="16"/>
  <c r="AE33" i="16"/>
  <c r="AE34" i="16" s="1"/>
  <c r="AE13" i="16" s="1"/>
  <c r="AE15" i="16" s="1"/>
  <c r="AE25" i="34"/>
  <c r="Y64" i="51" s="1"/>
  <c r="AF32" i="15"/>
  <c r="AF15" i="15"/>
  <c r="AF17" i="34"/>
  <c r="Z56" i="51" s="1"/>
  <c r="AF27" i="17"/>
  <c r="AL28" i="17" s="1"/>
  <c r="AF12" i="17"/>
  <c r="AF8" i="28"/>
  <c r="AF19" i="16"/>
  <c r="AF21" i="16" s="1"/>
  <c r="AF26" i="11"/>
  <c r="AF27" i="11" s="1"/>
  <c r="V26" i="20"/>
  <c r="V27" i="20" s="1"/>
  <c r="V38" i="19"/>
  <c r="V31" i="19"/>
  <c r="AH8" i="34"/>
  <c r="AB47" i="51" s="1"/>
  <c r="AH44" i="15"/>
  <c r="AE23" i="34"/>
  <c r="Y62" i="51" s="1"/>
  <c r="U48" i="20"/>
  <c r="U81" i="20"/>
  <c r="U76" i="20"/>
  <c r="P20" i="31"/>
  <c r="J35" i="51" s="1"/>
  <c r="Q75" i="20"/>
  <c r="AF29" i="15"/>
  <c r="AF10" i="12"/>
  <c r="AF11" i="12" s="1"/>
  <c r="AG27" i="10"/>
  <c r="AG29" i="10" s="1"/>
  <c r="P11" i="34"/>
  <c r="J50" i="51" s="1"/>
  <c r="AL13" i="37"/>
  <c r="AL20" i="18"/>
  <c r="AL22" i="18" s="1"/>
  <c r="AL61" i="12"/>
  <c r="AL49" i="12"/>
  <c r="N18" i="51" l="1"/>
  <c r="O16" i="49"/>
  <c r="Z4" i="51"/>
  <c r="AA12" i="49"/>
  <c r="Y31" i="51"/>
  <c r="Z9" i="49"/>
  <c r="Y33" i="51"/>
  <c r="Z10" i="49"/>
  <c r="Y13" i="51"/>
  <c r="Z22" i="49"/>
  <c r="AE19" i="28"/>
  <c r="AF11" i="28"/>
  <c r="N22" i="9"/>
  <c r="N24" i="9" s="1"/>
  <c r="P12" i="34"/>
  <c r="J51" i="51" s="1"/>
  <c r="T37" i="9"/>
  <c r="T38" i="9" s="1"/>
  <c r="P21" i="31"/>
  <c r="J36" i="51" s="1"/>
  <c r="O12" i="9"/>
  <c r="O13" i="9" s="1"/>
  <c r="K29" i="35"/>
  <c r="S16" i="22"/>
  <c r="S27" i="31"/>
  <c r="M42" i="51" s="1"/>
  <c r="AF19" i="34"/>
  <c r="Z58" i="51" s="1"/>
  <c r="AF26" i="16"/>
  <c r="AH27" i="16" s="1"/>
  <c r="AF12" i="16"/>
  <c r="V10" i="34"/>
  <c r="P49" i="51" s="1"/>
  <c r="AE24" i="34"/>
  <c r="Y63" i="51" s="1"/>
  <c r="AF40" i="17"/>
  <c r="AF41" i="17" s="1"/>
  <c r="Q66" i="20"/>
  <c r="Q68" i="20" s="1"/>
  <c r="AG11" i="13"/>
  <c r="P15" i="34"/>
  <c r="J54" i="51" s="1"/>
  <c r="AF14" i="34"/>
  <c r="Z53" i="51" s="1"/>
  <c r="AF40" i="18"/>
  <c r="AF41" i="18" s="1"/>
  <c r="AF27" i="18"/>
  <c r="AF28" i="18" s="1"/>
  <c r="AL29" i="17"/>
  <c r="AL14" i="17"/>
  <c r="AG53" i="12"/>
  <c r="AG54" i="12" s="1"/>
  <c r="AG11" i="11"/>
  <c r="AG12" i="11" s="1"/>
  <c r="AG23" i="10"/>
  <c r="AG24" i="10" s="1"/>
  <c r="V35" i="20"/>
  <c r="V36" i="20" s="1"/>
  <c r="W33" i="20" s="1"/>
  <c r="V40" i="20"/>
  <c r="V41" i="20" s="1"/>
  <c r="V46" i="20" s="1"/>
  <c r="V47" i="20" s="1"/>
  <c r="AE82" i="20"/>
  <c r="AE17" i="31"/>
  <c r="AF11" i="16"/>
  <c r="AL21" i="34"/>
  <c r="AF60" i="51" s="1"/>
  <c r="AL12" i="18"/>
  <c r="AF9" i="19"/>
  <c r="AF11" i="19" s="1"/>
  <c r="AF22" i="19" s="1"/>
  <c r="AF23" i="19" s="1"/>
  <c r="AF30" i="15"/>
  <c r="AF36" i="15" s="1"/>
  <c r="AG25" i="12"/>
  <c r="U21" i="28"/>
  <c r="M21" i="29"/>
  <c r="AF14" i="31"/>
  <c r="Z29" i="51" s="1"/>
  <c r="AG24" i="11"/>
  <c r="V48" i="19"/>
  <c r="V51" i="19" s="1"/>
  <c r="V36" i="19" s="1"/>
  <c r="W37" i="19" s="1"/>
  <c r="V32" i="19"/>
  <c r="AF14" i="13"/>
  <c r="AF30" i="13"/>
  <c r="AF33" i="13" s="1"/>
  <c r="O17" i="51" l="1"/>
  <c r="P24" i="49"/>
  <c r="Z7" i="51"/>
  <c r="AA13" i="49"/>
  <c r="Y15" i="51"/>
  <c r="Z15" i="49"/>
  <c r="Y32" i="51"/>
  <c r="Z8" i="49"/>
  <c r="AF9" i="20"/>
  <c r="AF10" i="20" s="1"/>
  <c r="J11" i="33"/>
  <c r="O9" i="8"/>
  <c r="O11" i="31"/>
  <c r="P11" i="9"/>
  <c r="K11" i="32"/>
  <c r="N23" i="31"/>
  <c r="H38" i="51" s="1"/>
  <c r="N15" i="22"/>
  <c r="N17" i="22" s="1"/>
  <c r="N21" i="22" s="1"/>
  <c r="U36" i="9"/>
  <c r="T25" i="31"/>
  <c r="N40" i="51" s="1"/>
  <c r="T28" i="9"/>
  <c r="T30" i="9" s="1"/>
  <c r="U22" i="28"/>
  <c r="P23" i="9"/>
  <c r="AG16" i="19"/>
  <c r="AG17" i="19" s="1"/>
  <c r="AG42" i="15"/>
  <c r="AG20" i="15"/>
  <c r="AG25" i="11"/>
  <c r="AF15" i="31"/>
  <c r="Z30" i="51" s="1"/>
  <c r="AG28" i="15"/>
  <c r="AF30" i="19"/>
  <c r="AF49" i="19"/>
  <c r="AL18" i="34"/>
  <c r="AF57" i="51" s="1"/>
  <c r="Q77" i="20"/>
  <c r="Q78" i="20" s="1"/>
  <c r="Q69" i="20"/>
  <c r="Q11" i="34" s="1"/>
  <c r="K50" i="51" s="1"/>
  <c r="AF20" i="20"/>
  <c r="AF21" i="20" s="1"/>
  <c r="AF34" i="20" s="1"/>
  <c r="AF14" i="20"/>
  <c r="AF15" i="20" s="1"/>
  <c r="P26" i="34"/>
  <c r="J65" i="51" s="1"/>
  <c r="W38" i="19"/>
  <c r="W31" i="19"/>
  <c r="AG16" i="37"/>
  <c r="AG63" i="12"/>
  <c r="AG65" i="12" s="1"/>
  <c r="AG71" i="12"/>
  <c r="AG73" i="12" s="1"/>
  <c r="Q16" i="38"/>
  <c r="AF13" i="28"/>
  <c r="V76" i="20"/>
  <c r="V81" i="20"/>
  <c r="V48" i="20"/>
  <c r="AF29" i="18"/>
  <c r="AF14" i="18"/>
  <c r="AH14" i="16"/>
  <c r="AH28" i="16"/>
  <c r="AG10" i="37"/>
  <c r="AB26" i="49" s="1"/>
  <c r="AG24" i="12"/>
  <c r="AG26" i="12" s="1"/>
  <c r="AG31" i="12" s="1"/>
  <c r="AG33" i="12" s="1"/>
  <c r="AH20" i="10"/>
  <c r="Q10" i="38"/>
  <c r="M10" i="39"/>
  <c r="K10" i="26"/>
  <c r="AF34" i="13"/>
  <c r="AF9" i="31" s="1"/>
  <c r="Z24" i="51" s="1"/>
  <c r="AG29" i="13"/>
  <c r="V19" i="31"/>
  <c r="P34" i="51" s="1"/>
  <c r="W29" i="19"/>
  <c r="AF39" i="16"/>
  <c r="AF40" i="16" s="1"/>
  <c r="W26" i="20"/>
  <c r="W27" i="20" s="1"/>
  <c r="AF46" i="18"/>
  <c r="AF47" i="18" s="1"/>
  <c r="AF33" i="18"/>
  <c r="AF42" i="18"/>
  <c r="AF33" i="17"/>
  <c r="AF46" i="17"/>
  <c r="AF47" i="17" s="1"/>
  <c r="AF42" i="17"/>
  <c r="O18" i="51" l="1"/>
  <c r="P16" i="49"/>
  <c r="I26" i="51"/>
  <c r="J7" i="49"/>
  <c r="Z9" i="51"/>
  <c r="AA20" i="49"/>
  <c r="Q12" i="34"/>
  <c r="K51" i="51" s="1"/>
  <c r="U37" i="9"/>
  <c r="U38" i="9" s="1"/>
  <c r="O12" i="31"/>
  <c r="I27" i="51" s="1"/>
  <c r="T16" i="22"/>
  <c r="T27" i="31"/>
  <c r="N42" i="51" s="1"/>
  <c r="AF14" i="28"/>
  <c r="AF22" i="34"/>
  <c r="Z61" i="51" s="1"/>
  <c r="AG15" i="37"/>
  <c r="AB28" i="49" s="1"/>
  <c r="AH60" i="12"/>
  <c r="K15" i="26"/>
  <c r="M15" i="39"/>
  <c r="Q15" i="38"/>
  <c r="AF34" i="17"/>
  <c r="AF35" i="17" s="1"/>
  <c r="AF13" i="17" s="1"/>
  <c r="AF15" i="17" s="1"/>
  <c r="AF48" i="17"/>
  <c r="Q20" i="31"/>
  <c r="K35" i="51" s="1"/>
  <c r="R75" i="20"/>
  <c r="W48" i="19"/>
  <c r="W51" i="19" s="1"/>
  <c r="W36" i="19" s="1"/>
  <c r="X37" i="19" s="1"/>
  <c r="W32" i="19"/>
  <c r="AH28" i="10"/>
  <c r="AG11" i="37"/>
  <c r="AG20" i="17"/>
  <c r="AG22" i="17" s="1"/>
  <c r="AG13" i="15"/>
  <c r="AG14" i="15" s="1"/>
  <c r="AG21" i="13"/>
  <c r="AG24" i="13" s="1"/>
  <c r="AG39" i="12"/>
  <c r="AM41" i="12" s="1"/>
  <c r="AG48" i="12"/>
  <c r="AG50" i="12" s="1"/>
  <c r="AG17" i="9"/>
  <c r="AG18" i="9" s="1"/>
  <c r="Q11" i="38"/>
  <c r="W10" i="34"/>
  <c r="Q49" i="51" s="1"/>
  <c r="V21" i="28"/>
  <c r="AF18" i="28"/>
  <c r="AF34" i="18"/>
  <c r="AF35" i="18" s="1"/>
  <c r="AF13" i="18" s="1"/>
  <c r="AF15" i="18" s="1"/>
  <c r="AF48" i="18"/>
  <c r="AH20" i="34"/>
  <c r="AB59" i="51" s="1"/>
  <c r="P29" i="34"/>
  <c r="J68" i="51" s="1"/>
  <c r="AF41" i="16"/>
  <c r="AF32" i="16"/>
  <c r="AF45" i="16"/>
  <c r="AF46" i="16" s="1"/>
  <c r="AF39" i="20"/>
  <c r="AF25" i="20"/>
  <c r="AF16" i="28"/>
  <c r="W40" i="20"/>
  <c r="W41" i="20" s="1"/>
  <c r="W46" i="20" s="1"/>
  <c r="W47" i="20" s="1"/>
  <c r="W35" i="20"/>
  <c r="W36" i="20" s="1"/>
  <c r="X33" i="20" s="1"/>
  <c r="AG17" i="37"/>
  <c r="AB29" i="49" s="1"/>
  <c r="AH70" i="12"/>
  <c r="AG17" i="11"/>
  <c r="AG18" i="11" s="1"/>
  <c r="Q17" i="38"/>
  <c r="K17" i="26"/>
  <c r="M17" i="39"/>
  <c r="AG21" i="19"/>
  <c r="AG21" i="15"/>
  <c r="AI22" i="15" s="1"/>
  <c r="AG43" i="15"/>
  <c r="AG45" i="15" s="1"/>
  <c r="Z12" i="51" l="1"/>
  <c r="AA21" i="49"/>
  <c r="Z14" i="51"/>
  <c r="AA23" i="49"/>
  <c r="Z10" i="51"/>
  <c r="AA14" i="49"/>
  <c r="P17" i="51"/>
  <c r="Q24" i="49"/>
  <c r="Q21" i="31"/>
  <c r="K36" i="51" s="1"/>
  <c r="O22" i="9"/>
  <c r="O24" i="9" s="1"/>
  <c r="J12" i="33"/>
  <c r="K12" i="32"/>
  <c r="V22" i="28"/>
  <c r="U25" i="31"/>
  <c r="O40" i="51" s="1"/>
  <c r="V36" i="9"/>
  <c r="U28" i="9"/>
  <c r="U30" i="9" s="1"/>
  <c r="K25" i="33"/>
  <c r="J25" i="24"/>
  <c r="D40" i="50" s="1"/>
  <c r="M25" i="32"/>
  <c r="Q15" i="34"/>
  <c r="K54" i="51" s="1"/>
  <c r="AG10" i="31"/>
  <c r="AA25" i="51" s="1"/>
  <c r="AH41" i="15"/>
  <c r="K10" i="24"/>
  <c r="E25" i="50" s="1"/>
  <c r="Q10" i="32"/>
  <c r="M10" i="33"/>
  <c r="AI8" i="34"/>
  <c r="AC47" i="51" s="1"/>
  <c r="AI44" i="15"/>
  <c r="AF18" i="31"/>
  <c r="AG11" i="18"/>
  <c r="AG8" i="28"/>
  <c r="AG19" i="16"/>
  <c r="AG21" i="16" s="1"/>
  <c r="AG26" i="11"/>
  <c r="AG27" i="11" s="1"/>
  <c r="Q8" i="29"/>
  <c r="P12" i="9"/>
  <c r="P13" i="9" s="1"/>
  <c r="AF25" i="34"/>
  <c r="Z64" i="51" s="1"/>
  <c r="AG29" i="15"/>
  <c r="AG10" i="12"/>
  <c r="AG11" i="12" s="1"/>
  <c r="AG12" i="37"/>
  <c r="AB27" i="49" s="1"/>
  <c r="AG12" i="13"/>
  <c r="AG13" i="13" s="1"/>
  <c r="AH47" i="12"/>
  <c r="K12" i="26"/>
  <c r="M12" i="39"/>
  <c r="Q12" i="38"/>
  <c r="W19" i="31"/>
  <c r="Q34" i="51" s="1"/>
  <c r="X29" i="19"/>
  <c r="AF47" i="16"/>
  <c r="AF33" i="16"/>
  <c r="V37" i="9"/>
  <c r="V38" i="9" s="1"/>
  <c r="AM13" i="37"/>
  <c r="AM20" i="18"/>
  <c r="AM22" i="18" s="1"/>
  <c r="AM49" i="12"/>
  <c r="AM61" i="12"/>
  <c r="S13" i="38"/>
  <c r="X31" i="19"/>
  <c r="X38" i="19"/>
  <c r="R66" i="20"/>
  <c r="R68" i="20" s="1"/>
  <c r="X26" i="20"/>
  <c r="X27" i="20" s="1"/>
  <c r="AF17" i="28"/>
  <c r="AG32" i="15"/>
  <c r="AG15" i="15"/>
  <c r="AH27" i="10"/>
  <c r="AH29" i="10" s="1"/>
  <c r="AG17" i="34"/>
  <c r="AA56" i="51" s="1"/>
  <c r="AG27" i="17"/>
  <c r="AM28" i="17" s="1"/>
  <c r="AG12" i="17"/>
  <c r="Q17" i="35"/>
  <c r="AF16" i="31"/>
  <c r="AG11" i="17"/>
  <c r="AF34" i="16"/>
  <c r="AF13" i="16" s="1"/>
  <c r="AF15" i="16" s="1"/>
  <c r="AG8" i="31"/>
  <c r="AA23" i="51" s="1"/>
  <c r="AH20" i="13"/>
  <c r="K8" i="24"/>
  <c r="E23" i="50" s="1"/>
  <c r="Q8" i="32"/>
  <c r="M8" i="33"/>
  <c r="W81" i="20"/>
  <c r="W76" i="20"/>
  <c r="W48" i="20"/>
  <c r="AF23" i="34"/>
  <c r="Z62" i="51" s="1"/>
  <c r="AA4" i="51" l="1"/>
  <c r="AB12" i="49"/>
  <c r="P18" i="51"/>
  <c r="Q16" i="49"/>
  <c r="Z33" i="51"/>
  <c r="AA10" i="49"/>
  <c r="Z31" i="51"/>
  <c r="AA9" i="49"/>
  <c r="Z13" i="51"/>
  <c r="AA22" i="49"/>
  <c r="Q26" i="34"/>
  <c r="K65" i="51" s="1"/>
  <c r="O23" i="31"/>
  <c r="I38" i="51" s="1"/>
  <c r="O15" i="22"/>
  <c r="O17" i="22" s="1"/>
  <c r="O21" i="22" s="1"/>
  <c r="K23" i="32"/>
  <c r="AF19" i="28"/>
  <c r="Q23" i="9"/>
  <c r="U16" i="22"/>
  <c r="U27" i="31"/>
  <c r="O42" i="51" s="1"/>
  <c r="M27" i="32"/>
  <c r="K27" i="33"/>
  <c r="J27" i="24"/>
  <c r="D42" i="50" s="1"/>
  <c r="AG11" i="28"/>
  <c r="Q11" i="29" s="1"/>
  <c r="AG40" i="17"/>
  <c r="AG41" i="17" s="1"/>
  <c r="X40" i="20"/>
  <c r="X41" i="20" s="1"/>
  <c r="X46" i="20" s="1"/>
  <c r="X47" i="20" s="1"/>
  <c r="X35" i="20"/>
  <c r="X36" i="20" s="1"/>
  <c r="Y33" i="20" s="1"/>
  <c r="AM21" i="34"/>
  <c r="AG60" i="51" s="1"/>
  <c r="AM12" i="18"/>
  <c r="S21" i="35"/>
  <c r="W21" i="28"/>
  <c r="AF17" i="31"/>
  <c r="AG11" i="16"/>
  <c r="X48" i="19"/>
  <c r="X51" i="19" s="1"/>
  <c r="X36" i="19" s="1"/>
  <c r="Y37" i="19" s="1"/>
  <c r="X32" i="19"/>
  <c r="AG9" i="19"/>
  <c r="AG11" i="19" s="1"/>
  <c r="AG22" i="19" s="1"/>
  <c r="AG23" i="19" s="1"/>
  <c r="AG30" i="15"/>
  <c r="AG14" i="31"/>
  <c r="AA29" i="51" s="1"/>
  <c r="AH24" i="11"/>
  <c r="M14" i="33"/>
  <c r="Q14" i="32"/>
  <c r="K14" i="24"/>
  <c r="E29" i="50" s="1"/>
  <c r="AH53" i="12"/>
  <c r="AH54" i="12" s="1"/>
  <c r="AH11" i="11"/>
  <c r="AH12" i="11" s="1"/>
  <c r="AH23" i="10"/>
  <c r="AH24" i="10" s="1"/>
  <c r="R69" i="20"/>
  <c r="R11" i="34" s="1"/>
  <c r="L50" i="51" s="1"/>
  <c r="R77" i="20"/>
  <c r="R78" i="20" s="1"/>
  <c r="AG36" i="15"/>
  <c r="AG19" i="34"/>
  <c r="AA58" i="51" s="1"/>
  <c r="AG26" i="16"/>
  <c r="AI27" i="16" s="1"/>
  <c r="AG12" i="16"/>
  <c r="Q19" i="35"/>
  <c r="AG14" i="34"/>
  <c r="AA53" i="51" s="1"/>
  <c r="Q14" i="35"/>
  <c r="AG40" i="18"/>
  <c r="AG41" i="18" s="1"/>
  <c r="AG27" i="18"/>
  <c r="AG28" i="18" s="1"/>
  <c r="X10" i="34"/>
  <c r="R49" i="51" s="1"/>
  <c r="N10" i="35"/>
  <c r="V25" i="31"/>
  <c r="P40" i="51" s="1"/>
  <c r="W36" i="9"/>
  <c r="V28" i="9"/>
  <c r="V30" i="9" s="1"/>
  <c r="AH25" i="12"/>
  <c r="P11" i="31"/>
  <c r="Q11" i="9"/>
  <c r="P9" i="8"/>
  <c r="AH11" i="13"/>
  <c r="AM14" i="17"/>
  <c r="AM29" i="17"/>
  <c r="AF24" i="34"/>
  <c r="Z63" i="51" s="1"/>
  <c r="AG14" i="13"/>
  <c r="AG30" i="13"/>
  <c r="AG33" i="13" s="1"/>
  <c r="AF82" i="20" l="1"/>
  <c r="Z15" i="51"/>
  <c r="AA15" i="49"/>
  <c r="Q17" i="51"/>
  <c r="R24" i="49"/>
  <c r="Z32" i="51"/>
  <c r="AA8" i="49"/>
  <c r="J26" i="51"/>
  <c r="K7" i="49"/>
  <c r="AG9" i="20"/>
  <c r="AG10" i="20" s="1"/>
  <c r="AA7" i="51"/>
  <c r="AB13" i="49"/>
  <c r="W22" i="28"/>
  <c r="R12" i="34"/>
  <c r="L51" i="51" s="1"/>
  <c r="Q29" i="34"/>
  <c r="K68" i="51" s="1"/>
  <c r="P12" i="31"/>
  <c r="J27" i="51" s="1"/>
  <c r="AI14" i="16"/>
  <c r="AI28" i="16"/>
  <c r="AH16" i="37"/>
  <c r="AH63" i="12"/>
  <c r="AH65" i="12" s="1"/>
  <c r="AH71" i="12"/>
  <c r="AH73" i="12" s="1"/>
  <c r="X19" i="31"/>
  <c r="R34" i="51" s="1"/>
  <c r="Y29" i="19"/>
  <c r="N19" i="32"/>
  <c r="AG20" i="20"/>
  <c r="AG21" i="20" s="1"/>
  <c r="AG34" i="20" s="1"/>
  <c r="AG14" i="20"/>
  <c r="AG15" i="20" s="1"/>
  <c r="Y38" i="19"/>
  <c r="Y31" i="19"/>
  <c r="AM18" i="34"/>
  <c r="AG57" i="51" s="1"/>
  <c r="S18" i="35"/>
  <c r="AG15" i="31"/>
  <c r="AA30" i="51" s="1"/>
  <c r="AH28" i="15"/>
  <c r="K15" i="24"/>
  <c r="E30" i="50" s="1"/>
  <c r="Q15" i="32"/>
  <c r="M15" i="33"/>
  <c r="AG39" i="16"/>
  <c r="AG40" i="16" s="1"/>
  <c r="Y26" i="20"/>
  <c r="Y27" i="20" s="1"/>
  <c r="AG34" i="13"/>
  <c r="AH29" i="13"/>
  <c r="R20" i="31"/>
  <c r="L35" i="51" s="1"/>
  <c r="S75" i="20"/>
  <c r="X81" i="20"/>
  <c r="X76" i="20"/>
  <c r="X48" i="20"/>
  <c r="V27" i="31"/>
  <c r="P42" i="51" s="1"/>
  <c r="V16" i="22"/>
  <c r="AG29" i="18"/>
  <c r="AG14" i="18"/>
  <c r="AH10" i="37"/>
  <c r="AH24" i="12"/>
  <c r="AH26" i="12" s="1"/>
  <c r="AH31" i="12" s="1"/>
  <c r="AH33" i="12" s="1"/>
  <c r="AI20" i="10"/>
  <c r="AG13" i="28"/>
  <c r="Q13" i="29"/>
  <c r="AG46" i="18"/>
  <c r="AG47" i="18" s="1"/>
  <c r="AG33" i="18"/>
  <c r="AG42" i="18"/>
  <c r="AH16" i="19"/>
  <c r="AH17" i="19" s="1"/>
  <c r="AH20" i="15"/>
  <c r="AH42" i="15"/>
  <c r="AH25" i="11"/>
  <c r="AG30" i="19"/>
  <c r="AG49" i="19"/>
  <c r="W37" i="9"/>
  <c r="W38" i="9" s="1"/>
  <c r="AG46" i="17"/>
  <c r="AG47" i="17" s="1"/>
  <c r="AG42" i="17"/>
  <c r="AG33" i="17"/>
  <c r="Q18" i="51" l="1"/>
  <c r="R16" i="49"/>
  <c r="AA9" i="51"/>
  <c r="AB20" i="49"/>
  <c r="AG14" i="28"/>
  <c r="P22" i="9"/>
  <c r="P24" i="9" s="1"/>
  <c r="Q12" i="9"/>
  <c r="Q13" i="9" s="1"/>
  <c r="R15" i="34"/>
  <c r="L54" i="51" s="1"/>
  <c r="R21" i="31"/>
  <c r="L36" i="51" s="1"/>
  <c r="AG48" i="18"/>
  <c r="AG34" i="18"/>
  <c r="AG35" i="18" s="1"/>
  <c r="AG13" i="18" s="1"/>
  <c r="AG15" i="18" s="1"/>
  <c r="Q14" i="29"/>
  <c r="L21" i="32"/>
  <c r="AG32" i="16"/>
  <c r="AG45" i="16"/>
  <c r="AG46" i="16" s="1"/>
  <c r="AG41" i="16"/>
  <c r="Y10" i="34"/>
  <c r="S49" i="51" s="1"/>
  <c r="AG25" i="20"/>
  <c r="AG39" i="20"/>
  <c r="AH17" i="37"/>
  <c r="AI70" i="12"/>
  <c r="AH17" i="11"/>
  <c r="AH18" i="11" s="1"/>
  <c r="X21" i="28"/>
  <c r="N21" i="29"/>
  <c r="AG9" i="31"/>
  <c r="AA24" i="51" s="1"/>
  <c r="Q9" i="32"/>
  <c r="M9" i="33"/>
  <c r="K9" i="24"/>
  <c r="E24" i="50" s="1"/>
  <c r="AH15" i="37"/>
  <c r="AI60" i="12"/>
  <c r="AG16" i="28"/>
  <c r="Q16" i="29"/>
  <c r="AG48" i="17"/>
  <c r="AG34" i="17"/>
  <c r="AG35" i="17" s="1"/>
  <c r="AG13" i="17" s="1"/>
  <c r="AG15" i="17" s="1"/>
  <c r="W25" i="31"/>
  <c r="Q40" i="51" s="1"/>
  <c r="W28" i="9"/>
  <c r="W30" i="9" s="1"/>
  <c r="X36" i="9"/>
  <c r="AH11" i="37"/>
  <c r="AH20" i="17"/>
  <c r="AH22" i="17" s="1"/>
  <c r="AH13" i="15"/>
  <c r="AH14" i="15" s="1"/>
  <c r="AH21" i="13"/>
  <c r="AH24" i="13" s="1"/>
  <c r="AH39" i="12"/>
  <c r="AN41" i="12" s="1"/>
  <c r="AH48" i="12"/>
  <c r="AH50" i="12" s="1"/>
  <c r="AH17" i="9"/>
  <c r="AH18" i="9" s="1"/>
  <c r="AH21" i="19"/>
  <c r="AH43" i="15"/>
  <c r="AH45" i="15" s="1"/>
  <c r="AH21" i="15"/>
  <c r="AJ22" i="15" s="1"/>
  <c r="AG22" i="34"/>
  <c r="AA61" i="51" s="1"/>
  <c r="Q22" i="35"/>
  <c r="Y48" i="19"/>
  <c r="Y51" i="19" s="1"/>
  <c r="Y36" i="19" s="1"/>
  <c r="Z37" i="19" s="1"/>
  <c r="Y32" i="19"/>
  <c r="AI20" i="34"/>
  <c r="AC59" i="51" s="1"/>
  <c r="AI28" i="10"/>
  <c r="AG18" i="28"/>
  <c r="Q18" i="29"/>
  <c r="Y40" i="20"/>
  <c r="Y41" i="20" s="1"/>
  <c r="Y46" i="20" s="1"/>
  <c r="Y47" i="20" s="1"/>
  <c r="Y35" i="20"/>
  <c r="Y36" i="20" s="1"/>
  <c r="Z33" i="20" s="1"/>
  <c r="S66" i="20"/>
  <c r="S68" i="20" s="1"/>
  <c r="AA12" i="51" l="1"/>
  <c r="AB21" i="49"/>
  <c r="R17" i="51"/>
  <c r="S24" i="49"/>
  <c r="AA14" i="51"/>
  <c r="AB23" i="49"/>
  <c r="AA10" i="51"/>
  <c r="AB14" i="49"/>
  <c r="X22" i="28"/>
  <c r="P23" i="31"/>
  <c r="J38" i="51" s="1"/>
  <c r="P15" i="22"/>
  <c r="P17" i="22" s="1"/>
  <c r="P21" i="22" s="1"/>
  <c r="R26" i="34"/>
  <c r="L65" i="51" s="1"/>
  <c r="Q11" i="31"/>
  <c r="R11" i="9"/>
  <c r="Q9" i="8"/>
  <c r="R23" i="9"/>
  <c r="AH10" i="31"/>
  <c r="AB25" i="51" s="1"/>
  <c r="AI41" i="15"/>
  <c r="AJ8" i="34"/>
  <c r="AD47" i="51" s="1"/>
  <c r="AJ44" i="15"/>
  <c r="R8" i="35"/>
  <c r="AG16" i="31"/>
  <c r="AH11" i="17"/>
  <c r="M16" i="33"/>
  <c r="K16" i="24"/>
  <c r="E31" i="50" s="1"/>
  <c r="Q16" i="32"/>
  <c r="W27" i="31"/>
  <c r="Q42" i="51" s="1"/>
  <c r="W16" i="22"/>
  <c r="X37" i="9"/>
  <c r="X38" i="9" s="1"/>
  <c r="Y48" i="20"/>
  <c r="Y81" i="20"/>
  <c r="Y76" i="20"/>
  <c r="AH12" i="37"/>
  <c r="AH12" i="13"/>
  <c r="AH13" i="13" s="1"/>
  <c r="AI47" i="12"/>
  <c r="AH8" i="28"/>
  <c r="AB4" i="51" s="1"/>
  <c r="AH19" i="16"/>
  <c r="AH21" i="16" s="1"/>
  <c r="AH26" i="11"/>
  <c r="AH27" i="11" s="1"/>
  <c r="Z26" i="20"/>
  <c r="Z27" i="20" s="1"/>
  <c r="AH29" i="15"/>
  <c r="AH10" i="12"/>
  <c r="AH11" i="12" s="1"/>
  <c r="AH8" i="31"/>
  <c r="AB23" i="51" s="1"/>
  <c r="AI20" i="13"/>
  <c r="Y19" i="31"/>
  <c r="S34" i="51" s="1"/>
  <c r="Z29" i="19"/>
  <c r="AH15" i="15"/>
  <c r="AH32" i="15"/>
  <c r="AG23" i="34"/>
  <c r="AA62" i="51" s="1"/>
  <c r="Q23" i="35"/>
  <c r="Z38" i="19"/>
  <c r="Z31" i="19"/>
  <c r="AH17" i="34"/>
  <c r="AB56" i="51" s="1"/>
  <c r="AH27" i="17"/>
  <c r="AN28" i="17" s="1"/>
  <c r="AH12" i="17"/>
  <c r="S69" i="20"/>
  <c r="S77" i="20"/>
  <c r="S78" i="20" s="1"/>
  <c r="AG18" i="31"/>
  <c r="AH11" i="18"/>
  <c r="K18" i="24"/>
  <c r="E33" i="50" s="1"/>
  <c r="Q18" i="32"/>
  <c r="M18" i="33"/>
  <c r="AG17" i="28"/>
  <c r="Q17" i="29"/>
  <c r="AG25" i="34"/>
  <c r="AA64" i="51" s="1"/>
  <c r="Q25" i="35"/>
  <c r="AN13" i="37"/>
  <c r="AN20" i="18"/>
  <c r="AN22" i="18" s="1"/>
  <c r="AN49" i="12"/>
  <c r="AN61" i="12"/>
  <c r="AI27" i="10"/>
  <c r="AI29" i="10" s="1"/>
  <c r="AG47" i="16"/>
  <c r="AG33" i="16"/>
  <c r="AG34" i="16" s="1"/>
  <c r="AG13" i="16" s="1"/>
  <c r="AG15" i="16" s="1"/>
  <c r="AA13" i="51" l="1"/>
  <c r="AB22" i="49"/>
  <c r="AA31" i="51"/>
  <c r="AB9" i="49"/>
  <c r="AA33" i="51"/>
  <c r="AB10" i="49"/>
  <c r="K26" i="51"/>
  <c r="L7" i="49"/>
  <c r="N22" i="29"/>
  <c r="R18" i="51"/>
  <c r="S16" i="49"/>
  <c r="AG19" i="28"/>
  <c r="Q12" i="31"/>
  <c r="K27" i="51" s="1"/>
  <c r="AH11" i="28"/>
  <c r="AB7" i="51" s="1"/>
  <c r="R29" i="34"/>
  <c r="L68" i="51" s="1"/>
  <c r="L26" i="35"/>
  <c r="AG17" i="31"/>
  <c r="AH11" i="16"/>
  <c r="M17" i="33"/>
  <c r="K17" i="24"/>
  <c r="E32" i="50" s="1"/>
  <c r="Q17" i="32"/>
  <c r="AG82" i="20"/>
  <c r="Q19" i="29"/>
  <c r="X25" i="31"/>
  <c r="R40" i="51" s="1"/>
  <c r="X28" i="9"/>
  <c r="X30" i="9" s="1"/>
  <c r="Y36" i="9"/>
  <c r="N25" i="32"/>
  <c r="AN14" i="17"/>
  <c r="AN29" i="17"/>
  <c r="S11" i="34"/>
  <c r="M50" i="51" s="1"/>
  <c r="AI11" i="13"/>
  <c r="AH14" i="31"/>
  <c r="AB29" i="51" s="1"/>
  <c r="AI24" i="11"/>
  <c r="Y21" i="28"/>
  <c r="Z10" i="34"/>
  <c r="T49" i="51" s="1"/>
  <c r="AH9" i="19"/>
  <c r="AH11" i="19" s="1"/>
  <c r="AH22" i="19" s="1"/>
  <c r="AH23" i="19" s="1"/>
  <c r="AH30" i="15"/>
  <c r="AH36" i="15" s="1"/>
  <c r="AH19" i="34"/>
  <c r="AB58" i="51" s="1"/>
  <c r="AH26" i="16"/>
  <c r="AJ27" i="16" s="1"/>
  <c r="AH12" i="16"/>
  <c r="AN21" i="34"/>
  <c r="AH60" i="51" s="1"/>
  <c r="AN12" i="18"/>
  <c r="AH14" i="34"/>
  <c r="AB53" i="51" s="1"/>
  <c r="AI25" i="12"/>
  <c r="AH40" i="17"/>
  <c r="AH41" i="17" s="1"/>
  <c r="S20" i="31"/>
  <c r="M35" i="51" s="1"/>
  <c r="T75" i="20"/>
  <c r="AG24" i="34"/>
  <c r="AA63" i="51" s="1"/>
  <c r="Q24" i="35"/>
  <c r="AI53" i="12"/>
  <c r="AI54" i="12" s="1"/>
  <c r="AI11" i="11"/>
  <c r="AI12" i="11" s="1"/>
  <c r="AI23" i="10"/>
  <c r="AI24" i="10" s="1"/>
  <c r="AH27" i="18"/>
  <c r="AH28" i="18" s="1"/>
  <c r="AH40" i="18"/>
  <c r="AH41" i="18" s="1"/>
  <c r="Z48" i="19"/>
  <c r="Z51" i="19" s="1"/>
  <c r="Z36" i="19" s="1"/>
  <c r="AA37" i="19" s="1"/>
  <c r="Z32" i="19"/>
  <c r="Z35" i="20"/>
  <c r="Z36" i="20" s="1"/>
  <c r="AA33" i="20" s="1"/>
  <c r="Z40" i="20"/>
  <c r="Z41" i="20" s="1"/>
  <c r="Z46" i="20" s="1"/>
  <c r="Z47" i="20" s="1"/>
  <c r="AH30" i="13"/>
  <c r="AH33" i="13" s="1"/>
  <c r="AH14" i="13"/>
  <c r="AA15" i="51" l="1"/>
  <c r="AB15" i="49"/>
  <c r="S17" i="51"/>
  <c r="T24" i="49"/>
  <c r="AA32" i="51"/>
  <c r="AB8" i="49"/>
  <c r="AH9" i="20"/>
  <c r="AH10" i="20" s="1"/>
  <c r="AH14" i="20" s="1"/>
  <c r="AH15" i="20" s="1"/>
  <c r="Y22" i="28"/>
  <c r="S21" i="31"/>
  <c r="M36" i="51" s="1"/>
  <c r="S12" i="34"/>
  <c r="M51" i="51" s="1"/>
  <c r="Q22" i="9"/>
  <c r="Q24" i="9" s="1"/>
  <c r="R12" i="9"/>
  <c r="R13" i="9" s="1"/>
  <c r="AH15" i="31"/>
  <c r="AB30" i="51" s="1"/>
  <c r="AI28" i="15"/>
  <c r="AH49" i="19"/>
  <c r="AH30" i="19"/>
  <c r="Z19" i="31"/>
  <c r="T34" i="51" s="1"/>
  <c r="AA29" i="19"/>
  <c r="T66" i="20"/>
  <c r="T68" i="20" s="1"/>
  <c r="AI16" i="37"/>
  <c r="AI63" i="12"/>
  <c r="AI65" i="12" s="1"/>
  <c r="AI71" i="12"/>
  <c r="AI73" i="12" s="1"/>
  <c r="AH29" i="18"/>
  <c r="AH14" i="18"/>
  <c r="AA26" i="20"/>
  <c r="AA27" i="20" s="1"/>
  <c r="AA38" i="19"/>
  <c r="AA31" i="19"/>
  <c r="AH46" i="18"/>
  <c r="AH47" i="18" s="1"/>
  <c r="AH42" i="18"/>
  <c r="AH33" i="18"/>
  <c r="AH13" i="28"/>
  <c r="AB9" i="51" s="1"/>
  <c r="AI10" i="37"/>
  <c r="AI24" i="12"/>
  <c r="AI26" i="12" s="1"/>
  <c r="AI31" i="12" s="1"/>
  <c r="AI33" i="12" s="1"/>
  <c r="AJ20" i="10"/>
  <c r="AH42" i="17"/>
  <c r="AH33" i="17"/>
  <c r="AH46" i="17"/>
  <c r="AH47" i="17" s="1"/>
  <c r="AJ14" i="16"/>
  <c r="AJ28" i="16"/>
  <c r="X27" i="31"/>
  <c r="R42" i="51" s="1"/>
  <c r="X16" i="22"/>
  <c r="N27" i="32"/>
  <c r="AH39" i="16"/>
  <c r="AH40" i="16" s="1"/>
  <c r="AI29" i="13"/>
  <c r="AH34" i="13"/>
  <c r="AH9" i="31" s="1"/>
  <c r="AB24" i="51" s="1"/>
  <c r="Z76" i="20"/>
  <c r="Z48" i="20"/>
  <c r="Z81" i="20"/>
  <c r="AI16" i="19"/>
  <c r="AI17" i="19" s="1"/>
  <c r="AI42" i="15"/>
  <c r="AI20" i="15"/>
  <c r="AI25" i="11"/>
  <c r="AN18" i="34"/>
  <c r="AH57" i="51" s="1"/>
  <c r="AH20" i="20" l="1"/>
  <c r="AH21" i="20" s="1"/>
  <c r="AH34" i="20" s="1"/>
  <c r="S18" i="51"/>
  <c r="T16" i="49"/>
  <c r="Y37" i="9"/>
  <c r="Y38" i="9" s="1"/>
  <c r="R11" i="31"/>
  <c r="R9" i="8"/>
  <c r="S11" i="9"/>
  <c r="L11" i="32"/>
  <c r="S23" i="9"/>
  <c r="AH14" i="28"/>
  <c r="AB10" i="51" s="1"/>
  <c r="Q15" i="22"/>
  <c r="Q17" i="22" s="1"/>
  <c r="Q21" i="22" s="1"/>
  <c r="Q23" i="31"/>
  <c r="K38" i="51" s="1"/>
  <c r="S15" i="34"/>
  <c r="M54" i="51" s="1"/>
  <c r="Y25" i="31"/>
  <c r="S40" i="51" s="1"/>
  <c r="Z36" i="9"/>
  <c r="Y28" i="9"/>
  <c r="Y30" i="9" s="1"/>
  <c r="AJ20" i="34"/>
  <c r="AD59" i="51" s="1"/>
  <c r="R20" i="35"/>
  <c r="AH18" i="28"/>
  <c r="AB14" i="51" s="1"/>
  <c r="AH22" i="34"/>
  <c r="AB61" i="51" s="1"/>
  <c r="AA48" i="19"/>
  <c r="AA51" i="19" s="1"/>
  <c r="AA36" i="19" s="1"/>
  <c r="AB37" i="19" s="1"/>
  <c r="AA32" i="19"/>
  <c r="AH48" i="18"/>
  <c r="AH34" i="18"/>
  <c r="AH35" i="18" s="1"/>
  <c r="AH13" i="18" s="1"/>
  <c r="AH15" i="18" s="1"/>
  <c r="AH34" i="17"/>
  <c r="AH35" i="17" s="1"/>
  <c r="AH13" i="17" s="1"/>
  <c r="AH15" i="17" s="1"/>
  <c r="AH48" i="17"/>
  <c r="AA10" i="34"/>
  <c r="U49" i="51" s="1"/>
  <c r="O10" i="35"/>
  <c r="AH32" i="16"/>
  <c r="AH45" i="16"/>
  <c r="AH46" i="16" s="1"/>
  <c r="AH41" i="16"/>
  <c r="AH16" i="28"/>
  <c r="AB12" i="51" s="1"/>
  <c r="AI21" i="19"/>
  <c r="AI43" i="15"/>
  <c r="AI45" i="15" s="1"/>
  <c r="AI21" i="15"/>
  <c r="AK22" i="15" s="1"/>
  <c r="AJ28" i="10"/>
  <c r="AA40" i="20"/>
  <c r="AA41" i="20" s="1"/>
  <c r="AA46" i="20" s="1"/>
  <c r="AA47" i="20" s="1"/>
  <c r="AA35" i="20"/>
  <c r="AA36" i="20" s="1"/>
  <c r="AB33" i="20" s="1"/>
  <c r="AI17" i="37"/>
  <c r="AJ70" i="12"/>
  <c r="AI17" i="11"/>
  <c r="AI18" i="11" s="1"/>
  <c r="T69" i="20"/>
  <c r="T77" i="20"/>
  <c r="T78" i="20" s="1"/>
  <c r="AI11" i="37"/>
  <c r="AI20" i="17"/>
  <c r="AI22" i="17" s="1"/>
  <c r="AI13" i="15"/>
  <c r="AI14" i="15" s="1"/>
  <c r="AI21" i="13"/>
  <c r="AI24" i="13" s="1"/>
  <c r="AI48" i="12"/>
  <c r="AI50" i="12" s="1"/>
  <c r="AI39" i="12"/>
  <c r="AO41" i="12" s="1"/>
  <c r="AI17" i="9"/>
  <c r="AI18" i="9" s="1"/>
  <c r="AI15" i="37"/>
  <c r="AJ60" i="12"/>
  <c r="Z21" i="28"/>
  <c r="AH25" i="20"/>
  <c r="AH39" i="20"/>
  <c r="L26" i="51" l="1"/>
  <c r="M7" i="49"/>
  <c r="T17" i="51"/>
  <c r="U24" i="49"/>
  <c r="S26" i="34"/>
  <c r="M65" i="51" s="1"/>
  <c r="Z22" i="28"/>
  <c r="Z37" i="9" s="1"/>
  <c r="Z38" i="9" s="1"/>
  <c r="R12" i="31"/>
  <c r="L27" i="51" s="1"/>
  <c r="AH18" i="31"/>
  <c r="AB33" i="51" s="1"/>
  <c r="AI11" i="18"/>
  <c r="AI12" i="37"/>
  <c r="AI12" i="13"/>
  <c r="AI13" i="13" s="1"/>
  <c r="AJ47" i="12"/>
  <c r="AI8" i="31"/>
  <c r="AC23" i="51" s="1"/>
  <c r="AJ20" i="13"/>
  <c r="AI10" i="31"/>
  <c r="AC25" i="51" s="1"/>
  <c r="AJ41" i="15"/>
  <c r="AB26" i="20"/>
  <c r="AB27" i="20" s="1"/>
  <c r="AH25" i="34"/>
  <c r="AB64" i="51" s="1"/>
  <c r="AI15" i="15"/>
  <c r="AI32" i="15"/>
  <c r="AK8" i="34"/>
  <c r="AE47" i="51" s="1"/>
  <c r="AK44" i="15"/>
  <c r="AI17" i="34"/>
  <c r="AC56" i="51" s="1"/>
  <c r="AI27" i="17"/>
  <c r="AO28" i="17" s="1"/>
  <c r="AI12" i="17"/>
  <c r="AA81" i="20"/>
  <c r="AA76" i="20"/>
  <c r="AA48" i="20"/>
  <c r="AH16" i="31"/>
  <c r="AB31" i="51" s="1"/>
  <c r="AI11" i="17"/>
  <c r="AA19" i="31"/>
  <c r="U34" i="51" s="1"/>
  <c r="AB29" i="19"/>
  <c r="O19" i="32"/>
  <c r="L19" i="33"/>
  <c r="AB31" i="19"/>
  <c r="AB38" i="19"/>
  <c r="Y27" i="31"/>
  <c r="S42" i="51" s="1"/>
  <c r="Y16" i="22"/>
  <c r="T20" i="31"/>
  <c r="N35" i="51" s="1"/>
  <c r="U75" i="20"/>
  <c r="AJ27" i="10"/>
  <c r="AJ29" i="10" s="1"/>
  <c r="AI29" i="15"/>
  <c r="AI10" i="12"/>
  <c r="AI11" i="12" s="1"/>
  <c r="T11" i="34"/>
  <c r="N50" i="51" s="1"/>
  <c r="AH17" i="28"/>
  <c r="AB13" i="51" s="1"/>
  <c r="AH23" i="34"/>
  <c r="AB62" i="51" s="1"/>
  <c r="AO13" i="37"/>
  <c r="AO20" i="18"/>
  <c r="AO22" i="18" s="1"/>
  <c r="AO49" i="12"/>
  <c r="AO61" i="12"/>
  <c r="AI8" i="28"/>
  <c r="AC4" i="51" s="1"/>
  <c r="AI19" i="16"/>
  <c r="AI21" i="16" s="1"/>
  <c r="AI26" i="11"/>
  <c r="AI27" i="11" s="1"/>
  <c r="AH47" i="16"/>
  <c r="AH33" i="16"/>
  <c r="AH34" i="16" s="1"/>
  <c r="AH13" i="16" s="1"/>
  <c r="AH15" i="16" s="1"/>
  <c r="T18" i="51" l="1"/>
  <c r="U16" i="49"/>
  <c r="T12" i="34"/>
  <c r="N51" i="51" s="1"/>
  <c r="AI11" i="28"/>
  <c r="AC7" i="51" s="1"/>
  <c r="R22" i="9"/>
  <c r="R24" i="9" s="1"/>
  <c r="L12" i="32"/>
  <c r="AH19" i="28"/>
  <c r="AB15" i="51" s="1"/>
  <c r="T21" i="31"/>
  <c r="N36" i="51" s="1"/>
  <c r="S29" i="34"/>
  <c r="M68" i="51" s="1"/>
  <c r="AH17" i="31"/>
  <c r="AB32" i="51" s="1"/>
  <c r="AI11" i="16"/>
  <c r="AI9" i="20"/>
  <c r="AI10" i="20" s="1"/>
  <c r="AI9" i="19"/>
  <c r="AI11" i="19" s="1"/>
  <c r="AI22" i="19" s="1"/>
  <c r="AI23" i="19" s="1"/>
  <c r="AI30" i="15"/>
  <c r="AI36" i="15" s="1"/>
  <c r="AI40" i="17"/>
  <c r="AI41" i="17" s="1"/>
  <c r="AI14" i="31"/>
  <c r="AC29" i="51" s="1"/>
  <c r="AJ24" i="11"/>
  <c r="AI19" i="34"/>
  <c r="AC58" i="51" s="1"/>
  <c r="AI26" i="16"/>
  <c r="AK27" i="16" s="1"/>
  <c r="AI12" i="16"/>
  <c r="AH24" i="34"/>
  <c r="AB63" i="51" s="1"/>
  <c r="AO29" i="17"/>
  <c r="AO14" i="17"/>
  <c r="AI14" i="34"/>
  <c r="AC53" i="51" s="1"/>
  <c r="AB10" i="34"/>
  <c r="V49" i="51" s="1"/>
  <c r="AA21" i="28"/>
  <c r="O21" i="29"/>
  <c r="AB40" i="20"/>
  <c r="AB41" i="20" s="1"/>
  <c r="AB46" i="20" s="1"/>
  <c r="AB47" i="20" s="1"/>
  <c r="AB35" i="20"/>
  <c r="AB36" i="20" s="1"/>
  <c r="AC33" i="20" s="1"/>
  <c r="AJ25" i="12"/>
  <c r="AI14" i="13"/>
  <c r="AI30" i="13"/>
  <c r="AI33" i="13" s="1"/>
  <c r="AJ53" i="12"/>
  <c r="AJ54" i="12" s="1"/>
  <c r="AJ11" i="11"/>
  <c r="AJ12" i="11" s="1"/>
  <c r="AJ23" i="10"/>
  <c r="AJ24" i="10" s="1"/>
  <c r="Z25" i="31"/>
  <c r="T40" i="51" s="1"/>
  <c r="Z28" i="9"/>
  <c r="Z30" i="9" s="1"/>
  <c r="AA36" i="9"/>
  <c r="AJ11" i="13"/>
  <c r="AI27" i="18"/>
  <c r="AI28" i="18" s="1"/>
  <c r="AI40" i="18"/>
  <c r="AI41" i="18" s="1"/>
  <c r="AO21" i="34"/>
  <c r="AI60" i="51" s="1"/>
  <c r="AO12" i="18"/>
  <c r="U66" i="20"/>
  <c r="U68" i="20" s="1"/>
  <c r="AB48" i="19"/>
  <c r="AB51" i="19" s="1"/>
  <c r="AB36" i="19" s="1"/>
  <c r="AC37" i="19" s="1"/>
  <c r="AB32" i="19"/>
  <c r="U17" i="51" l="1"/>
  <c r="V24" i="49"/>
  <c r="AH82" i="20"/>
  <c r="T23" i="9"/>
  <c r="R23" i="31"/>
  <c r="L38" i="51" s="1"/>
  <c r="R15" i="22"/>
  <c r="R17" i="22" s="1"/>
  <c r="R21" i="22" s="1"/>
  <c r="L23" i="32"/>
  <c r="S12" i="9"/>
  <c r="S13" i="9" s="1"/>
  <c r="AA22" i="28"/>
  <c r="T15" i="34"/>
  <c r="N54" i="51" s="1"/>
  <c r="U77" i="20"/>
  <c r="U78" i="20" s="1"/>
  <c r="U69" i="20"/>
  <c r="AI34" i="13"/>
  <c r="AI9" i="31" s="1"/>
  <c r="AC24" i="51" s="1"/>
  <c r="AJ29" i="13"/>
  <c r="AI49" i="19"/>
  <c r="AI30" i="19"/>
  <c r="AO18" i="34"/>
  <c r="AI57" i="51" s="1"/>
  <c r="AI15" i="31"/>
  <c r="AC30" i="51" s="1"/>
  <c r="AJ28" i="15"/>
  <c r="AK28" i="16"/>
  <c r="AK14" i="16"/>
  <c r="AI14" i="20"/>
  <c r="AI15" i="20" s="1"/>
  <c r="AI20" i="20"/>
  <c r="AI21" i="20" s="1"/>
  <c r="AI34" i="20" s="1"/>
  <c r="Z27" i="31"/>
  <c r="T42" i="51" s="1"/>
  <c r="Z16" i="22"/>
  <c r="AB19" i="31"/>
  <c r="V34" i="51" s="1"/>
  <c r="AC29" i="19"/>
  <c r="AJ10" i="37"/>
  <c r="AJ24" i="12"/>
  <c r="AJ26" i="12" s="1"/>
  <c r="AJ31" i="12" s="1"/>
  <c r="AJ33" i="12" s="1"/>
  <c r="AK20" i="10"/>
  <c r="R10" i="38"/>
  <c r="AC26" i="20"/>
  <c r="AC27" i="20" s="1"/>
  <c r="AC38" i="19"/>
  <c r="AC31" i="19"/>
  <c r="AI42" i="18"/>
  <c r="AI33" i="18"/>
  <c r="AI46" i="18"/>
  <c r="AI47" i="18" s="1"/>
  <c r="AJ16" i="19"/>
  <c r="AJ17" i="19" s="1"/>
  <c r="AJ42" i="15"/>
  <c r="AJ20" i="15"/>
  <c r="AJ25" i="11"/>
  <c r="AB76" i="20"/>
  <c r="AB81" i="20"/>
  <c r="AB48" i="20"/>
  <c r="AI42" i="17"/>
  <c r="AI33" i="17"/>
  <c r="AI46" i="17"/>
  <c r="AI47" i="17" s="1"/>
  <c r="AI39" i="16"/>
  <c r="AI40" i="16" s="1"/>
  <c r="AI13" i="28"/>
  <c r="AC9" i="51" s="1"/>
  <c r="AI29" i="18"/>
  <c r="AI14" i="18"/>
  <c r="AJ16" i="37"/>
  <c r="AJ63" i="12"/>
  <c r="AJ65" i="12" s="1"/>
  <c r="AJ71" i="12"/>
  <c r="AJ73" i="12" s="1"/>
  <c r="R16" i="38"/>
  <c r="U18" i="51" l="1"/>
  <c r="V16" i="49"/>
  <c r="AI14" i="28"/>
  <c r="AC10" i="51" s="1"/>
  <c r="T26" i="34"/>
  <c r="N65" i="51" s="1"/>
  <c r="O22" i="29"/>
  <c r="S11" i="31"/>
  <c r="S9" i="8"/>
  <c r="T11" i="9"/>
  <c r="AA37" i="9"/>
  <c r="AA38" i="9" s="1"/>
  <c r="AA25" i="31" s="1"/>
  <c r="U40" i="51" s="1"/>
  <c r="AA28" i="9"/>
  <c r="AA30" i="9" s="1"/>
  <c r="AB36" i="9"/>
  <c r="O25" i="32"/>
  <c r="L25" i="33"/>
  <c r="AI16" i="28"/>
  <c r="AC12" i="51" s="1"/>
  <c r="AI48" i="18"/>
  <c r="AI34" i="18"/>
  <c r="AI35" i="18" s="1"/>
  <c r="AI13" i="18" s="1"/>
  <c r="AI15" i="18" s="1"/>
  <c r="AB21" i="28"/>
  <c r="AK28" i="10"/>
  <c r="AI18" i="28"/>
  <c r="AC14" i="51" s="1"/>
  <c r="AJ11" i="37"/>
  <c r="AJ20" i="17"/>
  <c r="AJ22" i="17" s="1"/>
  <c r="AJ13" i="15"/>
  <c r="AJ14" i="15" s="1"/>
  <c r="AJ21" i="13"/>
  <c r="AJ24" i="13" s="1"/>
  <c r="AJ48" i="12"/>
  <c r="AJ50" i="12" s="1"/>
  <c r="AJ39" i="12"/>
  <c r="AP41" i="12" s="1"/>
  <c r="AJ17" i="9"/>
  <c r="AJ18" i="9" s="1"/>
  <c r="R11" i="38"/>
  <c r="AC10" i="34"/>
  <c r="W49" i="51" s="1"/>
  <c r="AC48" i="19"/>
  <c r="AC51" i="19" s="1"/>
  <c r="AC36" i="19" s="1"/>
  <c r="AD37" i="19" s="1"/>
  <c r="AC32" i="19"/>
  <c r="AI39" i="20"/>
  <c r="AI25" i="20"/>
  <c r="AJ17" i="37"/>
  <c r="AK70" i="12"/>
  <c r="AJ17" i="11"/>
  <c r="AJ18" i="11" s="1"/>
  <c r="R17" i="38"/>
  <c r="AJ15" i="37"/>
  <c r="AK60" i="12"/>
  <c r="R15" i="38"/>
  <c r="AI32" i="16"/>
  <c r="AI45" i="16"/>
  <c r="AI46" i="16" s="1"/>
  <c r="AI41" i="16"/>
  <c r="AI34" i="17"/>
  <c r="AI35" i="17" s="1"/>
  <c r="AI13" i="17" s="1"/>
  <c r="AI15" i="17" s="1"/>
  <c r="AI48" i="17"/>
  <c r="U11" i="34"/>
  <c r="O50" i="51" s="1"/>
  <c r="M11" i="35"/>
  <c r="AI22" i="34"/>
  <c r="AC61" i="51" s="1"/>
  <c r="AJ21" i="19"/>
  <c r="AJ43" i="15"/>
  <c r="AJ45" i="15" s="1"/>
  <c r="AJ21" i="15"/>
  <c r="AL22" i="15" s="1"/>
  <c r="AC40" i="20"/>
  <c r="AC41" i="20" s="1"/>
  <c r="AC46" i="20" s="1"/>
  <c r="AC47" i="20" s="1"/>
  <c r="AC35" i="20"/>
  <c r="AC36" i="20" s="1"/>
  <c r="AD33" i="20" s="1"/>
  <c r="AK20" i="34"/>
  <c r="AE59" i="51" s="1"/>
  <c r="U20" i="31"/>
  <c r="O35" i="51" s="1"/>
  <c r="V75" i="20"/>
  <c r="J20" i="24"/>
  <c r="D35" i="50" s="1"/>
  <c r="K20" i="33"/>
  <c r="M20" i="32"/>
  <c r="M26" i="51" l="1"/>
  <c r="N7" i="49"/>
  <c r="V17" i="51"/>
  <c r="W24" i="49"/>
  <c r="S12" i="31"/>
  <c r="M27" i="51" s="1"/>
  <c r="AB22" i="28"/>
  <c r="AB37" i="9" s="1"/>
  <c r="AB38" i="9" s="1"/>
  <c r="T29" i="34"/>
  <c r="N68" i="51" s="1"/>
  <c r="U12" i="34"/>
  <c r="O51" i="51" s="1"/>
  <c r="U21" i="31"/>
  <c r="O36" i="51" s="1"/>
  <c r="AI16" i="31"/>
  <c r="AC31" i="51" s="1"/>
  <c r="AJ11" i="17"/>
  <c r="AL8" i="34"/>
  <c r="AF47" i="51" s="1"/>
  <c r="AL44" i="15"/>
  <c r="AI18" i="31"/>
  <c r="AC33" i="51" s="1"/>
  <c r="AJ11" i="18"/>
  <c r="AJ10" i="31"/>
  <c r="AD25" i="51" s="1"/>
  <c r="AK41" i="15"/>
  <c r="R10" i="32"/>
  <c r="AJ8" i="28"/>
  <c r="AD4" i="51" s="1"/>
  <c r="AJ19" i="16"/>
  <c r="AJ21" i="16" s="1"/>
  <c r="AJ26" i="11"/>
  <c r="AJ27" i="11" s="1"/>
  <c r="R8" i="29"/>
  <c r="K21" i="33"/>
  <c r="M21" i="32"/>
  <c r="J21" i="24"/>
  <c r="D36" i="50" s="1"/>
  <c r="AK27" i="10"/>
  <c r="AK29" i="10" s="1"/>
  <c r="AC19" i="31"/>
  <c r="W34" i="51" s="1"/>
  <c r="AD29" i="19"/>
  <c r="V66" i="20"/>
  <c r="V68" i="20" s="1"/>
  <c r="AD38" i="19"/>
  <c r="AD31" i="19"/>
  <c r="AJ29" i="15"/>
  <c r="AJ10" i="12"/>
  <c r="AJ11" i="12" s="1"/>
  <c r="AI23" i="34"/>
  <c r="AC62" i="51" s="1"/>
  <c r="AP13" i="37"/>
  <c r="AP20" i="18"/>
  <c r="AP22" i="18" s="1"/>
  <c r="AP49" i="12"/>
  <c r="AP61" i="12"/>
  <c r="T13" i="38"/>
  <c r="AI25" i="34"/>
  <c r="AC64" i="51" s="1"/>
  <c r="AJ12" i="37"/>
  <c r="AJ12" i="13"/>
  <c r="AJ13" i="13" s="1"/>
  <c r="AK47" i="12"/>
  <c r="R12" i="38"/>
  <c r="AI17" i="28"/>
  <c r="AC13" i="51" s="1"/>
  <c r="AJ8" i="31"/>
  <c r="AD23" i="51" s="1"/>
  <c r="AK20" i="13"/>
  <c r="R8" i="32"/>
  <c r="AD26" i="20"/>
  <c r="AD27" i="20" s="1"/>
  <c r="AI47" i="16"/>
  <c r="AI33" i="16"/>
  <c r="AI34" i="16" s="1"/>
  <c r="AI13" i="16" s="1"/>
  <c r="AI15" i="16" s="1"/>
  <c r="AJ32" i="15"/>
  <c r="AJ15" i="15"/>
  <c r="AA27" i="31"/>
  <c r="U42" i="51" s="1"/>
  <c r="AA16" i="22"/>
  <c r="O27" i="32"/>
  <c r="L27" i="33"/>
  <c r="AC48" i="20"/>
  <c r="AC81" i="20"/>
  <c r="AC76" i="20"/>
  <c r="AJ17" i="34"/>
  <c r="AD56" i="51" s="1"/>
  <c r="AJ12" i="17"/>
  <c r="AJ27" i="17"/>
  <c r="AP28" i="17" s="1"/>
  <c r="R17" i="35"/>
  <c r="V18" i="51" l="1"/>
  <c r="W16" i="49"/>
  <c r="AI19" i="28"/>
  <c r="AC15" i="51" s="1"/>
  <c r="T12" i="9"/>
  <c r="T13" i="9" s="1"/>
  <c r="AJ11" i="28"/>
  <c r="AD7" i="51" s="1"/>
  <c r="U23" i="9"/>
  <c r="U15" i="34"/>
  <c r="O54" i="51" s="1"/>
  <c r="S22" i="9"/>
  <c r="S24" i="9" s="1"/>
  <c r="AC21" i="28"/>
  <c r="AI24" i="34"/>
  <c r="AC63" i="51" s="1"/>
  <c r="AP21" i="34"/>
  <c r="AJ60" i="51" s="1"/>
  <c r="AP12" i="18"/>
  <c r="T21" i="35"/>
  <c r="AD48" i="19"/>
  <c r="AD51" i="19" s="1"/>
  <c r="AD36" i="19" s="1"/>
  <c r="AE37" i="19" s="1"/>
  <c r="AD32" i="19"/>
  <c r="AP14" i="17"/>
  <c r="AP29" i="17"/>
  <c r="AJ9" i="19"/>
  <c r="AJ11" i="19" s="1"/>
  <c r="AJ22" i="19" s="1"/>
  <c r="AJ23" i="19" s="1"/>
  <c r="AJ30" i="15"/>
  <c r="AJ36" i="15" s="1"/>
  <c r="AJ40" i="18"/>
  <c r="AJ41" i="18" s="1"/>
  <c r="AJ27" i="18"/>
  <c r="AJ28" i="18" s="1"/>
  <c r="AB25" i="31"/>
  <c r="V40" i="51" s="1"/>
  <c r="AB28" i="9"/>
  <c r="AB30" i="9" s="1"/>
  <c r="AC36" i="9"/>
  <c r="AJ14" i="31"/>
  <c r="AD29" i="51" s="1"/>
  <c r="AK24" i="11"/>
  <c r="R14" i="32"/>
  <c r="AD35" i="20"/>
  <c r="AD36" i="20" s="1"/>
  <c r="AE33" i="20" s="1"/>
  <c r="AD40" i="20"/>
  <c r="AD41" i="20" s="1"/>
  <c r="AD46" i="20" s="1"/>
  <c r="AD47" i="20" s="1"/>
  <c r="AD10" i="34"/>
  <c r="X49" i="51" s="1"/>
  <c r="P10" i="35"/>
  <c r="AK53" i="12"/>
  <c r="AK54" i="12" s="1"/>
  <c r="AK11" i="11"/>
  <c r="AK12" i="11" s="1"/>
  <c r="AK23" i="10"/>
  <c r="AK24" i="10" s="1"/>
  <c r="AJ19" i="34"/>
  <c r="AD58" i="51" s="1"/>
  <c r="AJ26" i="16"/>
  <c r="AL27" i="16" s="1"/>
  <c r="AJ12" i="16"/>
  <c r="R19" i="35"/>
  <c r="AK11" i="13"/>
  <c r="AI17" i="31"/>
  <c r="AC32" i="51" s="1"/>
  <c r="AJ11" i="16"/>
  <c r="AJ14" i="34"/>
  <c r="AD53" i="51" s="1"/>
  <c r="R14" i="35"/>
  <c r="AK25" i="12"/>
  <c r="AJ14" i="13"/>
  <c r="AJ30" i="13"/>
  <c r="AJ33" i="13" s="1"/>
  <c r="AJ40" i="17"/>
  <c r="AJ41" i="17" s="1"/>
  <c r="V77" i="20"/>
  <c r="V78" i="20" s="1"/>
  <c r="V69" i="20"/>
  <c r="AI82" i="20" l="1"/>
  <c r="W17" i="51"/>
  <c r="X24" i="49"/>
  <c r="S15" i="22"/>
  <c r="S17" i="22" s="1"/>
  <c r="S21" i="22" s="1"/>
  <c r="S23" i="31"/>
  <c r="M38" i="51" s="1"/>
  <c r="R11" i="29"/>
  <c r="T9" i="8"/>
  <c r="U11" i="9"/>
  <c r="T11" i="31"/>
  <c r="U26" i="34"/>
  <c r="O65" i="51" s="1"/>
  <c r="AC22" i="28"/>
  <c r="AJ9" i="20"/>
  <c r="AJ10" i="20" s="1"/>
  <c r="AJ14" i="20" s="1"/>
  <c r="AJ15" i="20" s="1"/>
  <c r="AJ33" i="17"/>
  <c r="AJ42" i="17"/>
  <c r="AJ46" i="17"/>
  <c r="AJ47" i="17" s="1"/>
  <c r="AJ20" i="20"/>
  <c r="AJ21" i="20" s="1"/>
  <c r="AJ34" i="20" s="1"/>
  <c r="AL14" i="16"/>
  <c r="AL28" i="16"/>
  <c r="AD76" i="20"/>
  <c r="AD48" i="20"/>
  <c r="AD81" i="20"/>
  <c r="AJ49" i="19"/>
  <c r="AJ30" i="19"/>
  <c r="AJ34" i="13"/>
  <c r="AK29" i="13"/>
  <c r="AE26" i="20"/>
  <c r="AE27" i="20" s="1"/>
  <c r="AP18" i="34"/>
  <c r="AJ57" i="51" s="1"/>
  <c r="T18" i="35"/>
  <c r="V11" i="34"/>
  <c r="P50" i="51" s="1"/>
  <c r="AK10" i="37"/>
  <c r="AK24" i="12"/>
  <c r="AK26" i="12" s="1"/>
  <c r="AK31" i="12" s="1"/>
  <c r="AK33" i="12" s="1"/>
  <c r="AL20" i="10"/>
  <c r="AK16" i="19"/>
  <c r="AK17" i="19" s="1"/>
  <c r="AK42" i="15"/>
  <c r="AK20" i="15"/>
  <c r="AK25" i="11"/>
  <c r="AB27" i="31"/>
  <c r="V42" i="51" s="1"/>
  <c r="AB16" i="22"/>
  <c r="AJ14" i="18"/>
  <c r="AJ29" i="18"/>
  <c r="AD19" i="31"/>
  <c r="X34" i="51" s="1"/>
  <c r="AE29" i="19"/>
  <c r="P19" i="32"/>
  <c r="AJ13" i="28"/>
  <c r="AD9" i="51" s="1"/>
  <c r="R13" i="29"/>
  <c r="AJ39" i="16"/>
  <c r="AJ40" i="16" s="1"/>
  <c r="AK16" i="37"/>
  <c r="AK71" i="12"/>
  <c r="AK73" i="12" s="1"/>
  <c r="AK63" i="12"/>
  <c r="AK65" i="12" s="1"/>
  <c r="AJ42" i="18"/>
  <c r="AJ46" i="18"/>
  <c r="AJ47" i="18" s="1"/>
  <c r="AJ33" i="18"/>
  <c r="AE38" i="19"/>
  <c r="AE31" i="19"/>
  <c r="AJ15" i="31"/>
  <c r="AD30" i="51" s="1"/>
  <c r="AK28" i="15"/>
  <c r="R15" i="32"/>
  <c r="V20" i="31"/>
  <c r="P35" i="51" s="1"/>
  <c r="W75" i="20"/>
  <c r="AC37" i="9"/>
  <c r="AC38" i="9" s="1"/>
  <c r="W18" i="51" l="1"/>
  <c r="X16" i="49"/>
  <c r="N26" i="51"/>
  <c r="O7" i="49"/>
  <c r="U29" i="34"/>
  <c r="O68" i="51" s="1"/>
  <c r="T12" i="31"/>
  <c r="N27" i="51" s="1"/>
  <c r="V12" i="34"/>
  <c r="P51" i="51" s="1"/>
  <c r="V21" i="31"/>
  <c r="P36" i="51" s="1"/>
  <c r="AJ14" i="28"/>
  <c r="AD10" i="51" s="1"/>
  <c r="AC25" i="31"/>
  <c r="W40" i="51" s="1"/>
  <c r="AD36" i="9"/>
  <c r="AC28" i="9"/>
  <c r="AC30" i="9" s="1"/>
  <c r="AL28" i="10"/>
  <c r="AE40" i="20"/>
  <c r="AE41" i="20" s="1"/>
  <c r="AE46" i="20" s="1"/>
  <c r="AE47" i="20" s="1"/>
  <c r="AE35" i="20"/>
  <c r="AE36" i="20" s="1"/>
  <c r="AF33" i="20" s="1"/>
  <c r="AL20" i="34"/>
  <c r="AF59" i="51" s="1"/>
  <c r="AK11" i="37"/>
  <c r="AK20" i="17"/>
  <c r="AK22" i="17" s="1"/>
  <c r="AK13" i="15"/>
  <c r="AK14" i="15" s="1"/>
  <c r="AK21" i="13"/>
  <c r="AK24" i="13" s="1"/>
  <c r="AK48" i="12"/>
  <c r="AK50" i="12" s="1"/>
  <c r="AK39" i="12"/>
  <c r="AQ41" i="12" s="1"/>
  <c r="AK17" i="9"/>
  <c r="AK18" i="9" s="1"/>
  <c r="AK15" i="37"/>
  <c r="AL60" i="12"/>
  <c r="R14" i="29"/>
  <c r="AK17" i="37"/>
  <c r="AL70" i="12"/>
  <c r="AK17" i="11"/>
  <c r="AK18" i="11" s="1"/>
  <c r="AJ9" i="31"/>
  <c r="AD24" i="51" s="1"/>
  <c r="R9" i="32"/>
  <c r="AJ39" i="20"/>
  <c r="AJ25" i="20"/>
  <c r="AE10" i="34"/>
  <c r="Y49" i="51" s="1"/>
  <c r="W66" i="20"/>
  <c r="W68" i="20" s="1"/>
  <c r="AE48" i="19"/>
  <c r="AE51" i="19" s="1"/>
  <c r="AE36" i="19" s="1"/>
  <c r="AF37" i="19" s="1"/>
  <c r="AE32" i="19"/>
  <c r="AJ18" i="28"/>
  <c r="AD14" i="51" s="1"/>
  <c r="R18" i="29"/>
  <c r="AJ48" i="17"/>
  <c r="AJ34" i="17"/>
  <c r="AJ48" i="18"/>
  <c r="AJ34" i="18"/>
  <c r="AJ35" i="18" s="1"/>
  <c r="AJ13" i="18" s="1"/>
  <c r="AJ15" i="18" s="1"/>
  <c r="AJ32" i="16"/>
  <c r="AJ45" i="16"/>
  <c r="AJ46" i="16" s="1"/>
  <c r="AJ41" i="16"/>
  <c r="AJ22" i="34"/>
  <c r="AD61" i="51" s="1"/>
  <c r="R22" i="35"/>
  <c r="AK21" i="19"/>
  <c r="AK21" i="15"/>
  <c r="AM22" i="15" s="1"/>
  <c r="AK43" i="15"/>
  <c r="AK45" i="15" s="1"/>
  <c r="AJ16" i="28"/>
  <c r="AD12" i="51" s="1"/>
  <c r="R16" i="29"/>
  <c r="V15" i="34"/>
  <c r="P54" i="51" s="1"/>
  <c r="AD21" i="28"/>
  <c r="P21" i="29"/>
  <c r="AJ35" i="17"/>
  <c r="AJ13" i="17" s="1"/>
  <c r="AJ15" i="17" s="1"/>
  <c r="X17" i="51" l="1"/>
  <c r="Y24" i="49"/>
  <c r="T22" i="9"/>
  <c r="T24" i="9" s="1"/>
  <c r="V23" i="9"/>
  <c r="AD22" i="28"/>
  <c r="U12" i="9"/>
  <c r="U13" i="9" s="1"/>
  <c r="AK10" i="31"/>
  <c r="AE25" i="51" s="1"/>
  <c r="AL41" i="15"/>
  <c r="AJ18" i="31"/>
  <c r="AD33" i="51" s="1"/>
  <c r="AK11" i="18"/>
  <c r="R18" i="32"/>
  <c r="AM8" i="34"/>
  <c r="AG47" i="51" s="1"/>
  <c r="AM44" i="15"/>
  <c r="S8" i="35"/>
  <c r="AJ17" i="28"/>
  <c r="AD13" i="51" s="1"/>
  <c r="R17" i="29"/>
  <c r="W69" i="20"/>
  <c r="W77" i="20"/>
  <c r="W78" i="20" s="1"/>
  <c r="AQ13" i="37"/>
  <c r="AQ20" i="18"/>
  <c r="AQ22" i="18" s="1"/>
  <c r="AQ61" i="12"/>
  <c r="AQ49" i="12"/>
  <c r="AF26" i="20"/>
  <c r="AF27" i="20" s="1"/>
  <c r="AK8" i="28"/>
  <c r="AE4" i="51" s="1"/>
  <c r="AK19" i="16"/>
  <c r="AK21" i="16" s="1"/>
  <c r="AK26" i="11"/>
  <c r="AK27" i="11" s="1"/>
  <c r="AL27" i="10"/>
  <c r="AL29" i="10" s="1"/>
  <c r="AK12" i="37"/>
  <c r="AK12" i="13"/>
  <c r="AK13" i="13" s="1"/>
  <c r="AL47" i="12"/>
  <c r="AE81" i="20"/>
  <c r="AE76" i="20"/>
  <c r="AE48" i="20"/>
  <c r="AK8" i="31"/>
  <c r="AE23" i="51" s="1"/>
  <c r="AL20" i="13"/>
  <c r="AK15" i="15"/>
  <c r="AK32" i="15"/>
  <c r="AJ16" i="31"/>
  <c r="AD31" i="51" s="1"/>
  <c r="AK11" i="17"/>
  <c r="R16" i="32"/>
  <c r="AJ25" i="34"/>
  <c r="AD64" i="51" s="1"/>
  <c r="R25" i="35"/>
  <c r="AK17" i="34"/>
  <c r="AE56" i="51" s="1"/>
  <c r="AK27" i="17"/>
  <c r="AQ28" i="17" s="1"/>
  <c r="AK12" i="17"/>
  <c r="AE19" i="31"/>
  <c r="Y34" i="51" s="1"/>
  <c r="AF29" i="19"/>
  <c r="AC27" i="31"/>
  <c r="W42" i="51" s="1"/>
  <c r="AC16" i="22"/>
  <c r="V26" i="34"/>
  <c r="P65" i="51" s="1"/>
  <c r="AJ23" i="34"/>
  <c r="AD62" i="51" s="1"/>
  <c r="R23" i="35"/>
  <c r="AF31" i="19"/>
  <c r="AF38" i="19"/>
  <c r="AJ33" i="16"/>
  <c r="AJ34" i="16" s="1"/>
  <c r="AJ13" i="16" s="1"/>
  <c r="AJ15" i="16" s="1"/>
  <c r="AJ47" i="16"/>
  <c r="P22" i="29"/>
  <c r="AK29" i="15"/>
  <c r="AK10" i="12"/>
  <c r="AK11" i="12" s="1"/>
  <c r="X18" i="51" l="1"/>
  <c r="Y16" i="49"/>
  <c r="J11" i="24"/>
  <c r="D26" i="50" s="1"/>
  <c r="M11" i="32"/>
  <c r="K11" i="33"/>
  <c r="U11" i="31"/>
  <c r="V11" i="9"/>
  <c r="U9" i="8"/>
  <c r="AD37" i="9"/>
  <c r="AD38" i="9" s="1"/>
  <c r="AK11" i="28"/>
  <c r="AE7" i="51" s="1"/>
  <c r="AJ19" i="28"/>
  <c r="AD15" i="51" s="1"/>
  <c r="T15" i="22"/>
  <c r="T17" i="22" s="1"/>
  <c r="T21" i="22" s="1"/>
  <c r="T23" i="31"/>
  <c r="N38" i="51" s="1"/>
  <c r="AD25" i="31"/>
  <c r="X40" i="51" s="1"/>
  <c r="AE36" i="9"/>
  <c r="AD28" i="9"/>
  <c r="AD30" i="9" s="1"/>
  <c r="P25" i="32"/>
  <c r="AJ17" i="31"/>
  <c r="AD32" i="51" s="1"/>
  <c r="AK11" i="16"/>
  <c r="R17" i="32"/>
  <c r="AJ82" i="20"/>
  <c r="R19" i="29"/>
  <c r="AK40" i="17"/>
  <c r="AK41" i="17" s="1"/>
  <c r="AL11" i="11"/>
  <c r="AL12" i="11" s="1"/>
  <c r="AL53" i="12"/>
  <c r="AL54" i="12" s="1"/>
  <c r="AL23" i="10"/>
  <c r="AL24" i="10" s="1"/>
  <c r="AF40" i="20"/>
  <c r="AF41" i="20" s="1"/>
  <c r="AF46" i="20" s="1"/>
  <c r="AF47" i="20" s="1"/>
  <c r="AF35" i="20"/>
  <c r="AF36" i="20" s="1"/>
  <c r="AG33" i="20" s="1"/>
  <c r="W20" i="31"/>
  <c r="Q35" i="51" s="1"/>
  <c r="X75" i="20"/>
  <c r="AQ14" i="17"/>
  <c r="AQ29" i="17"/>
  <c r="AE21" i="28"/>
  <c r="W11" i="34"/>
  <c r="Q50" i="51" s="1"/>
  <c r="AK27" i="18"/>
  <c r="AK28" i="18" s="1"/>
  <c r="AK40" i="18"/>
  <c r="AK41" i="18" s="1"/>
  <c r="AK14" i="34"/>
  <c r="AE53" i="51" s="1"/>
  <c r="AJ24" i="34"/>
  <c r="AD63" i="51" s="1"/>
  <c r="R24" i="35"/>
  <c r="AF48" i="19"/>
  <c r="AF51" i="19" s="1"/>
  <c r="AF36" i="19" s="1"/>
  <c r="AG37" i="19" s="1"/>
  <c r="AF32" i="19"/>
  <c r="AL25" i="12"/>
  <c r="AK14" i="31"/>
  <c r="AE29" i="51" s="1"/>
  <c r="AL24" i="11"/>
  <c r="V29" i="34"/>
  <c r="P68" i="51" s="1"/>
  <c r="AK9" i="19"/>
  <c r="AK11" i="19" s="1"/>
  <c r="AK22" i="19" s="1"/>
  <c r="AK23" i="19" s="1"/>
  <c r="AK30" i="15"/>
  <c r="AK36" i="15"/>
  <c r="AL11" i="13"/>
  <c r="AK14" i="13"/>
  <c r="AK30" i="13"/>
  <c r="AK33" i="13" s="1"/>
  <c r="AK19" i="34"/>
  <c r="AE58" i="51" s="1"/>
  <c r="AK12" i="16"/>
  <c r="AK26" i="16"/>
  <c r="AM27" i="16" s="1"/>
  <c r="AQ21" i="34"/>
  <c r="AK60" i="51" s="1"/>
  <c r="AQ12" i="18"/>
  <c r="AF10" i="34"/>
  <c r="Z49" i="51" s="1"/>
  <c r="AK9" i="20"/>
  <c r="AK10" i="20" s="1"/>
  <c r="O26" i="51" l="1"/>
  <c r="P7" i="49"/>
  <c r="Y17" i="51"/>
  <c r="Z24" i="49"/>
  <c r="W21" i="31"/>
  <c r="Q36" i="51" s="1"/>
  <c r="W12" i="34"/>
  <c r="Q51" i="51" s="1"/>
  <c r="U12" i="31"/>
  <c r="O27" i="51" s="1"/>
  <c r="AE22" i="28"/>
  <c r="AM28" i="16"/>
  <c r="AM14" i="16"/>
  <c r="AK14" i="18"/>
  <c r="AK29" i="18"/>
  <c r="AQ18" i="34"/>
  <c r="AK57" i="51" s="1"/>
  <c r="AL16" i="37"/>
  <c r="AL63" i="12"/>
  <c r="AL65" i="12" s="1"/>
  <c r="AL71" i="12"/>
  <c r="AL73" i="12" s="1"/>
  <c r="AK30" i="19"/>
  <c r="AK49" i="19"/>
  <c r="AL16" i="19"/>
  <c r="AL17" i="19" s="1"/>
  <c r="AL20" i="15"/>
  <c r="AL42" i="15"/>
  <c r="AL25" i="11"/>
  <c r="AK39" i="16"/>
  <c r="AK40" i="16" s="1"/>
  <c r="AF19" i="31"/>
  <c r="Z34" i="51" s="1"/>
  <c r="AG29" i="19"/>
  <c r="X66" i="20"/>
  <c r="X68" i="20" s="1"/>
  <c r="AK46" i="17"/>
  <c r="AK47" i="17" s="1"/>
  <c r="AK33" i="17"/>
  <c r="AK42" i="17"/>
  <c r="AL29" i="13"/>
  <c r="AK34" i="13"/>
  <c r="AK9" i="31" s="1"/>
  <c r="AE24" i="51" s="1"/>
  <c r="AK14" i="20"/>
  <c r="AK15" i="20" s="1"/>
  <c r="AK20" i="20"/>
  <c r="AK21" i="20" s="1"/>
  <c r="AK34" i="20" s="1"/>
  <c r="AK13" i="28"/>
  <c r="AE9" i="51" s="1"/>
  <c r="AG38" i="19"/>
  <c r="AG31" i="19"/>
  <c r="W15" i="34"/>
  <c r="Q54" i="51" s="1"/>
  <c r="V12" i="9"/>
  <c r="V13" i="9" s="1"/>
  <c r="AG26" i="20"/>
  <c r="AG27" i="20" s="1"/>
  <c r="AD27" i="31"/>
  <c r="X42" i="51" s="1"/>
  <c r="AD16" i="22"/>
  <c r="P27" i="32"/>
  <c r="AF81" i="20"/>
  <c r="AF76" i="20"/>
  <c r="AF48" i="20"/>
  <c r="AK15" i="31"/>
  <c r="AE30" i="51" s="1"/>
  <c r="AL28" i="15"/>
  <c r="AK33" i="18"/>
  <c r="AK46" i="18"/>
  <c r="AK47" i="18" s="1"/>
  <c r="AK42" i="18"/>
  <c r="AL10" i="37"/>
  <c r="AL24" i="12"/>
  <c r="AL26" i="12" s="1"/>
  <c r="AL31" i="12" s="1"/>
  <c r="AL33" i="12" s="1"/>
  <c r="AM20" i="10"/>
  <c r="Y18" i="51" l="1"/>
  <c r="Z16" i="49"/>
  <c r="AE37" i="9"/>
  <c r="AE38" i="9" s="1"/>
  <c r="AE25" i="31" s="1"/>
  <c r="Y40" i="51" s="1"/>
  <c r="U22" i="9"/>
  <c r="U24" i="9" s="1"/>
  <c r="J12" i="24"/>
  <c r="D27" i="50" s="1"/>
  <c r="M12" i="32"/>
  <c r="K12" i="33"/>
  <c r="AK14" i="28"/>
  <c r="AE10" i="51" s="1"/>
  <c r="W23" i="9"/>
  <c r="AE28" i="9"/>
  <c r="AE30" i="9" s="1"/>
  <c r="AF36" i="9"/>
  <c r="X77" i="20"/>
  <c r="X78" i="20" s="1"/>
  <c r="X69" i="20"/>
  <c r="AL21" i="19"/>
  <c r="AL43" i="15"/>
  <c r="AL45" i="15" s="1"/>
  <c r="AL21" i="15"/>
  <c r="AN22" i="15" s="1"/>
  <c r="AG40" i="20"/>
  <c r="AG41" i="20" s="1"/>
  <c r="AG46" i="20" s="1"/>
  <c r="AG47" i="20" s="1"/>
  <c r="AG35" i="20"/>
  <c r="AG36" i="20" s="1"/>
  <c r="AH33" i="20" s="1"/>
  <c r="W26" i="34"/>
  <c r="Q65" i="51" s="1"/>
  <c r="AK39" i="20"/>
  <c r="AK25" i="20"/>
  <c r="AG48" i="19"/>
  <c r="AG51" i="19" s="1"/>
  <c r="AG36" i="19" s="1"/>
  <c r="AH37" i="19" s="1"/>
  <c r="AG32" i="19"/>
  <c r="AK18" i="28"/>
  <c r="AE14" i="51" s="1"/>
  <c r="AK22" i="34"/>
  <c r="AE61" i="51" s="1"/>
  <c r="AF21" i="28"/>
  <c r="AG10" i="34"/>
  <c r="AA49" i="51" s="1"/>
  <c r="Q10" i="35"/>
  <c r="AK16" i="28"/>
  <c r="AE12" i="51" s="1"/>
  <c r="AK32" i="16"/>
  <c r="AK45" i="16"/>
  <c r="AK46" i="16" s="1"/>
  <c r="AK41" i="16"/>
  <c r="AL17" i="37"/>
  <c r="AM70" i="12"/>
  <c r="AL17" i="11"/>
  <c r="AL18" i="11" s="1"/>
  <c r="AK48" i="18"/>
  <c r="AK34" i="18"/>
  <c r="AK35" i="18" s="1"/>
  <c r="AK13" i="18" s="1"/>
  <c r="AK15" i="18" s="1"/>
  <c r="V11" i="31"/>
  <c r="V9" i="8"/>
  <c r="W11" i="9"/>
  <c r="AL15" i="37"/>
  <c r="AM60" i="12"/>
  <c r="AM28" i="10"/>
  <c r="AL11" i="37"/>
  <c r="AL20" i="17"/>
  <c r="AL22" i="17" s="1"/>
  <c r="AL13" i="15"/>
  <c r="AL14" i="15" s="1"/>
  <c r="AL21" i="13"/>
  <c r="AL24" i="13" s="1"/>
  <c r="AL39" i="12"/>
  <c r="AR41" i="12" s="1"/>
  <c r="AL48" i="12"/>
  <c r="AL50" i="12" s="1"/>
  <c r="AL17" i="9"/>
  <c r="AL18" i="9" s="1"/>
  <c r="AK48" i="17"/>
  <c r="AK34" i="17"/>
  <c r="AK35" i="17" s="1"/>
  <c r="AK13" i="17" s="1"/>
  <c r="AK15" i="17" s="1"/>
  <c r="AM20" i="34"/>
  <c r="AG59" i="51" s="1"/>
  <c r="S20" i="35"/>
  <c r="P26" i="51" l="1"/>
  <c r="Q7" i="49"/>
  <c r="Z17" i="51"/>
  <c r="AA24" i="49"/>
  <c r="AF22" i="28"/>
  <c r="U23" i="31"/>
  <c r="O38" i="51" s="1"/>
  <c r="J23" i="24"/>
  <c r="D38" i="50" s="1"/>
  <c r="U15" i="22"/>
  <c r="U17" i="22" s="1"/>
  <c r="U21" i="22" s="1"/>
  <c r="M23" i="32"/>
  <c r="K23" i="33"/>
  <c r="V12" i="31"/>
  <c r="P27" i="51" s="1"/>
  <c r="AL10" i="31"/>
  <c r="AF25" i="51" s="1"/>
  <c r="AM41" i="15"/>
  <c r="AK18" i="31"/>
  <c r="AE33" i="51" s="1"/>
  <c r="AL11" i="18"/>
  <c r="AK17" i="28"/>
  <c r="AE13" i="51" s="1"/>
  <c r="AK33" i="16"/>
  <c r="AK34" i="16" s="1"/>
  <c r="AK13" i="16" s="1"/>
  <c r="AK15" i="16" s="1"/>
  <c r="AK47" i="16"/>
  <c r="X11" i="34"/>
  <c r="R50" i="51" s="1"/>
  <c r="N11" i="35"/>
  <c r="AL17" i="34"/>
  <c r="AF56" i="51" s="1"/>
  <c r="AL12" i="17"/>
  <c r="AL27" i="17"/>
  <c r="AR28" i="17" s="1"/>
  <c r="AF37" i="9"/>
  <c r="AF38" i="9" s="1"/>
  <c r="X20" i="31"/>
  <c r="R35" i="51" s="1"/>
  <c r="Y75" i="20"/>
  <c r="N20" i="32"/>
  <c r="AK23" i="34"/>
  <c r="AE62" i="51" s="1"/>
  <c r="AL12" i="37"/>
  <c r="AL12" i="13"/>
  <c r="AL13" i="13" s="1"/>
  <c r="AM47" i="12"/>
  <c r="AM27" i="10"/>
  <c r="AM29" i="10" s="1"/>
  <c r="AK25" i="34"/>
  <c r="AE64" i="51" s="1"/>
  <c r="W29" i="34"/>
  <c r="Q68" i="51" s="1"/>
  <c r="AR13" i="37"/>
  <c r="AR20" i="18"/>
  <c r="AR22" i="18" s="1"/>
  <c r="AR61" i="12"/>
  <c r="AR49" i="12"/>
  <c r="AL8" i="28"/>
  <c r="AF4" i="51" s="1"/>
  <c r="AL19" i="16"/>
  <c r="AL21" i="16" s="1"/>
  <c r="AL26" i="11"/>
  <c r="AL27" i="11" s="1"/>
  <c r="AG19" i="31"/>
  <c r="AA34" i="51" s="1"/>
  <c r="AH29" i="19"/>
  <c r="Q19" i="32"/>
  <c r="M19" i="33"/>
  <c r="K19" i="24"/>
  <c r="E34" i="50" s="1"/>
  <c r="AH26" i="20"/>
  <c r="AH27" i="20" s="1"/>
  <c r="AE27" i="31"/>
  <c r="Y42" i="51" s="1"/>
  <c r="AE16" i="22"/>
  <c r="AK16" i="31"/>
  <c r="AE31" i="51" s="1"/>
  <c r="AL11" i="17"/>
  <c r="AH38" i="19"/>
  <c r="AH31" i="19"/>
  <c r="AG48" i="20"/>
  <c r="AG81" i="20"/>
  <c r="AG76" i="20"/>
  <c r="AL29" i="15"/>
  <c r="AL10" i="12"/>
  <c r="AL11" i="12" s="1"/>
  <c r="AL8" i="31"/>
  <c r="AF23" i="51" s="1"/>
  <c r="AM20" i="13"/>
  <c r="AN8" i="34"/>
  <c r="AH47" i="51" s="1"/>
  <c r="AN44" i="15"/>
  <c r="AL15" i="15"/>
  <c r="AL32" i="15"/>
  <c r="Z18" i="51" l="1"/>
  <c r="AA16" i="49"/>
  <c r="X12" i="34"/>
  <c r="R51" i="51" s="1"/>
  <c r="AK19" i="28"/>
  <c r="AE15" i="51" s="1"/>
  <c r="X21" i="31"/>
  <c r="R36" i="51" s="1"/>
  <c r="AL11" i="28"/>
  <c r="AF7" i="51" s="1"/>
  <c r="V22" i="9"/>
  <c r="V24" i="9" s="1"/>
  <c r="AF25" i="31"/>
  <c r="Z40" i="51" s="1"/>
  <c r="AF28" i="9"/>
  <c r="AF30" i="9" s="1"/>
  <c r="AG36" i="9"/>
  <c r="AK17" i="31"/>
  <c r="AE32" i="51" s="1"/>
  <c r="AL11" i="16"/>
  <c r="X15" i="34"/>
  <c r="R54" i="51" s="1"/>
  <c r="N12" i="35"/>
  <c r="AG21" i="28"/>
  <c r="Q21" i="29"/>
  <c r="AH35" i="20"/>
  <c r="AH36" i="20" s="1"/>
  <c r="AI33" i="20" s="1"/>
  <c r="AH40" i="20"/>
  <c r="AH41" i="20" s="1"/>
  <c r="AH46" i="20" s="1"/>
  <c r="AH47" i="20" s="1"/>
  <c r="AL19" i="34"/>
  <c r="AF58" i="51" s="1"/>
  <c r="AL26" i="16"/>
  <c r="AN27" i="16" s="1"/>
  <c r="AL12" i="16"/>
  <c r="AR14" i="17"/>
  <c r="AR29" i="17"/>
  <c r="AL14" i="31"/>
  <c r="AF29" i="51" s="1"/>
  <c r="AM24" i="11"/>
  <c r="AM53" i="12"/>
  <c r="AM54" i="12" s="1"/>
  <c r="AM11" i="11"/>
  <c r="AM12" i="11" s="1"/>
  <c r="AM23" i="10"/>
  <c r="AM24" i="10" s="1"/>
  <c r="AK24" i="34"/>
  <c r="AE63" i="51" s="1"/>
  <c r="AL27" i="18"/>
  <c r="AL28" i="18" s="1"/>
  <c r="AL40" i="18"/>
  <c r="AL41" i="18" s="1"/>
  <c r="AM25" i="12"/>
  <c r="Y66" i="20"/>
  <c r="Y68" i="20" s="1"/>
  <c r="AM11" i="13"/>
  <c r="AH10" i="34"/>
  <c r="AB49" i="51" s="1"/>
  <c r="AL40" i="17"/>
  <c r="AL41" i="17" s="1"/>
  <c r="AL14" i="34"/>
  <c r="AF53" i="51" s="1"/>
  <c r="AL9" i="19"/>
  <c r="AL11" i="19" s="1"/>
  <c r="AL22" i="19" s="1"/>
  <c r="AL23" i="19" s="1"/>
  <c r="AL30" i="15"/>
  <c r="AL36" i="15" s="1"/>
  <c r="AH48" i="19"/>
  <c r="AH51" i="19" s="1"/>
  <c r="AH36" i="19" s="1"/>
  <c r="AI37" i="19" s="1"/>
  <c r="AH32" i="19"/>
  <c r="W12" i="9"/>
  <c r="W13" i="9" s="1"/>
  <c r="AL30" i="13"/>
  <c r="AL33" i="13" s="1"/>
  <c r="AL14" i="13"/>
  <c r="X23" i="9"/>
  <c r="N21" i="32"/>
  <c r="AR21" i="34"/>
  <c r="AL60" i="51" s="1"/>
  <c r="AR12" i="18"/>
  <c r="AK82" i="20" l="1"/>
  <c r="AA17" i="51"/>
  <c r="AB24" i="49"/>
  <c r="AL9" i="20"/>
  <c r="AL10" i="20" s="1"/>
  <c r="AL20" i="20" s="1"/>
  <c r="AL21" i="20" s="1"/>
  <c r="AL34" i="20" s="1"/>
  <c r="AG22" i="28"/>
  <c r="V23" i="31"/>
  <c r="P38" i="51" s="1"/>
  <c r="V15" i="22"/>
  <c r="V17" i="22" s="1"/>
  <c r="V21" i="22" s="1"/>
  <c r="AL46" i="18"/>
  <c r="AL47" i="18" s="1"/>
  <c r="AL33" i="18"/>
  <c r="AL42" i="18"/>
  <c r="AM16" i="37"/>
  <c r="AM63" i="12"/>
  <c r="AM65" i="12" s="1"/>
  <c r="AM71" i="12"/>
  <c r="AM73" i="12" s="1"/>
  <c r="S16" i="38"/>
  <c r="AN28" i="16"/>
  <c r="AN14" i="16"/>
  <c r="AL15" i="31"/>
  <c r="AF30" i="51" s="1"/>
  <c r="AM28" i="15"/>
  <c r="AL29" i="18"/>
  <c r="AL14" i="18"/>
  <c r="X26" i="34"/>
  <c r="R65" i="51" s="1"/>
  <c r="N15" i="35"/>
  <c r="AH76" i="20"/>
  <c r="AH81" i="20"/>
  <c r="AH48" i="20"/>
  <c r="AL39" i="16"/>
  <c r="AL40" i="16" s="1"/>
  <c r="W11" i="31"/>
  <c r="X11" i="9"/>
  <c r="W9" i="8"/>
  <c r="AH19" i="31"/>
  <c r="AB34" i="51" s="1"/>
  <c r="AI29" i="19"/>
  <c r="AL42" i="17"/>
  <c r="AL33" i="17"/>
  <c r="AL46" i="17"/>
  <c r="AL47" i="17" s="1"/>
  <c r="AI26" i="20"/>
  <c r="AI27" i="20" s="1"/>
  <c r="AI38" i="19"/>
  <c r="AI31" i="19"/>
  <c r="Y77" i="20"/>
  <c r="Y78" i="20" s="1"/>
  <c r="Y69" i="20"/>
  <c r="AR18" i="34"/>
  <c r="AL57" i="51" s="1"/>
  <c r="AL49" i="19"/>
  <c r="AL30" i="19"/>
  <c r="AL13" i="28"/>
  <c r="AF9" i="51" s="1"/>
  <c r="AG37" i="9"/>
  <c r="AG38" i="9" s="1"/>
  <c r="Q22" i="29"/>
  <c r="AF27" i="31"/>
  <c r="Z42" i="51" s="1"/>
  <c r="AF16" i="22"/>
  <c r="AM16" i="19"/>
  <c r="AM17" i="19" s="1"/>
  <c r="AM42" i="15"/>
  <c r="AM20" i="15"/>
  <c r="AM25" i="11"/>
  <c r="AL34" i="13"/>
  <c r="AL9" i="31" s="1"/>
  <c r="AF24" i="51" s="1"/>
  <c r="AM29" i="13"/>
  <c r="AM10" i="37"/>
  <c r="AM24" i="12"/>
  <c r="AM26" i="12" s="1"/>
  <c r="AM31" i="12" s="1"/>
  <c r="AM33" i="12" s="1"/>
  <c r="AN20" i="10"/>
  <c r="N10" i="39"/>
  <c r="S10" i="38"/>
  <c r="AL14" i="20" l="1"/>
  <c r="AL15" i="20" s="1"/>
  <c r="Q26" i="51"/>
  <c r="R7" i="49"/>
  <c r="AA18" i="51"/>
  <c r="AB16" i="49"/>
  <c r="AL14" i="28"/>
  <c r="AF10" i="51" s="1"/>
  <c r="W12" i="31"/>
  <c r="Q27" i="51" s="1"/>
  <c r="AG25" i="31"/>
  <c r="AA40" i="51" s="1"/>
  <c r="AH36" i="9"/>
  <c r="AG28" i="9"/>
  <c r="AG30" i="9" s="1"/>
  <c r="M25" i="33"/>
  <c r="K25" i="24"/>
  <c r="E40" i="50" s="1"/>
  <c r="Q25" i="32"/>
  <c r="AM15" i="37"/>
  <c r="AN60" i="12"/>
  <c r="N15" i="39"/>
  <c r="S15" i="38"/>
  <c r="AI10" i="34"/>
  <c r="AC49" i="51" s="1"/>
  <c r="AL22" i="34"/>
  <c r="AF61" i="51" s="1"/>
  <c r="AI48" i="19"/>
  <c r="AI51" i="19" s="1"/>
  <c r="AI36" i="19" s="1"/>
  <c r="AJ37" i="19" s="1"/>
  <c r="AI32" i="19"/>
  <c r="AL18" i="28"/>
  <c r="AF14" i="51" s="1"/>
  <c r="AI40" i="20"/>
  <c r="AI41" i="20" s="1"/>
  <c r="AI46" i="20" s="1"/>
  <c r="AI47" i="20" s="1"/>
  <c r="AI35" i="20"/>
  <c r="AI36" i="20" s="1"/>
  <c r="AJ33" i="20" s="1"/>
  <c r="AM21" i="19"/>
  <c r="AM43" i="15"/>
  <c r="AM45" i="15" s="1"/>
  <c r="AM21" i="15"/>
  <c r="AO22" i="15" s="1"/>
  <c r="AL48" i="18"/>
  <c r="AL34" i="18"/>
  <c r="AL35" i="18" s="1"/>
  <c r="AL13" i="18" s="1"/>
  <c r="AL15" i="18" s="1"/>
  <c r="AM11" i="37"/>
  <c r="AM20" i="17"/>
  <c r="AM22" i="17" s="1"/>
  <c r="AM13" i="15"/>
  <c r="AM14" i="15" s="1"/>
  <c r="AM21" i="13"/>
  <c r="AM24" i="13" s="1"/>
  <c r="AM39" i="12"/>
  <c r="AS41" i="12" s="1"/>
  <c r="AM48" i="12"/>
  <c r="AM50" i="12" s="1"/>
  <c r="AM17" i="9"/>
  <c r="AM18" i="9" s="1"/>
  <c r="S11" i="38"/>
  <c r="AL48" i="17"/>
  <c r="AL34" i="17"/>
  <c r="AL35" i="17" s="1"/>
  <c r="AL13" i="17" s="1"/>
  <c r="AL15" i="17" s="1"/>
  <c r="AN20" i="34"/>
  <c r="AH59" i="51" s="1"/>
  <c r="Y11" i="34"/>
  <c r="S50" i="51" s="1"/>
  <c r="AH21" i="28"/>
  <c r="AB17" i="51" s="1"/>
  <c r="AN28" i="10"/>
  <c r="Y20" i="31"/>
  <c r="S35" i="51" s="1"/>
  <c r="Z75" i="20"/>
  <c r="AL16" i="28"/>
  <c r="AF12" i="51" s="1"/>
  <c r="AL32" i="16"/>
  <c r="AL45" i="16"/>
  <c r="AL46" i="16" s="1"/>
  <c r="AL41" i="16"/>
  <c r="X29" i="34"/>
  <c r="R68" i="51" s="1"/>
  <c r="N26" i="35"/>
  <c r="AM17" i="37"/>
  <c r="AN70" i="12"/>
  <c r="AM17" i="11"/>
  <c r="AM18" i="11" s="1"/>
  <c r="N17" i="39"/>
  <c r="S17" i="38"/>
  <c r="AL25" i="20"/>
  <c r="AL39" i="20"/>
  <c r="Y21" i="31" l="1"/>
  <c r="S36" i="51" s="1"/>
  <c r="AH22" i="28"/>
  <c r="AB18" i="51" s="1"/>
  <c r="Y12" i="34"/>
  <c r="S51" i="51" s="1"/>
  <c r="W22" i="9"/>
  <c r="W24" i="9" s="1"/>
  <c r="AM10" i="31"/>
  <c r="AG25" i="51" s="1"/>
  <c r="AN41" i="15"/>
  <c r="N10" i="33"/>
  <c r="S10" i="32"/>
  <c r="AO8" i="34"/>
  <c r="AI47" i="51" s="1"/>
  <c r="AO44" i="15"/>
  <c r="AL16" i="31"/>
  <c r="AF31" i="51" s="1"/>
  <c r="AM11" i="17"/>
  <c r="AM15" i="15"/>
  <c r="AM32" i="15"/>
  <c r="AM8" i="31"/>
  <c r="AG23" i="51" s="1"/>
  <c r="AN20" i="13"/>
  <c r="N8" i="33"/>
  <c r="S8" i="32"/>
  <c r="AM8" i="28"/>
  <c r="AG4" i="51" s="1"/>
  <c r="AM19" i="16"/>
  <c r="AM21" i="16" s="1"/>
  <c r="AM26" i="11"/>
  <c r="AM27" i="11" s="1"/>
  <c r="S8" i="29"/>
  <c r="AL47" i="16"/>
  <c r="AL33" i="16"/>
  <c r="AL34" i="16" s="1"/>
  <c r="AL13" i="16" s="1"/>
  <c r="AL15" i="16" s="1"/>
  <c r="AM17" i="34"/>
  <c r="AG56" i="51" s="1"/>
  <c r="AM12" i="17"/>
  <c r="AM27" i="17"/>
  <c r="AS28" i="17" s="1"/>
  <c r="S17" i="35"/>
  <c r="AL18" i="31"/>
  <c r="AF33" i="51" s="1"/>
  <c r="AM11" i="18"/>
  <c r="AI19" i="31"/>
  <c r="AC34" i="51" s="1"/>
  <c r="AJ29" i="19"/>
  <c r="Y15" i="34"/>
  <c r="S54" i="51" s="1"/>
  <c r="AL23" i="34"/>
  <c r="AF62" i="51" s="1"/>
  <c r="AJ26" i="20"/>
  <c r="AJ27" i="20" s="1"/>
  <c r="AJ31" i="19"/>
  <c r="AJ38" i="19"/>
  <c r="X12" i="9"/>
  <c r="X13" i="9" s="1"/>
  <c r="N29" i="35"/>
  <c r="AI81" i="20"/>
  <c r="AI76" i="20"/>
  <c r="AI48" i="20"/>
  <c r="AG27" i="31"/>
  <c r="AA42" i="51" s="1"/>
  <c r="AG16" i="22"/>
  <c r="K27" i="24"/>
  <c r="E42" i="50" s="1"/>
  <c r="Q27" i="32"/>
  <c r="M27" i="33"/>
  <c r="AM29" i="15"/>
  <c r="AM10" i="12"/>
  <c r="AM11" i="12" s="1"/>
  <c r="AL25" i="34"/>
  <c r="AF64" i="51" s="1"/>
  <c r="AL17" i="28"/>
  <c r="AF13" i="51" s="1"/>
  <c r="Z66" i="20"/>
  <c r="Z68" i="20" s="1"/>
  <c r="AM12" i="37"/>
  <c r="AM12" i="13"/>
  <c r="AM13" i="13" s="1"/>
  <c r="AN47" i="12"/>
  <c r="N12" i="39"/>
  <c r="S12" i="38"/>
  <c r="AH37" i="9"/>
  <c r="AH38" i="9" s="1"/>
  <c r="AS13" i="37"/>
  <c r="AS20" i="18"/>
  <c r="AS22" i="18" s="1"/>
  <c r="AS61" i="12"/>
  <c r="AS49" i="12"/>
  <c r="U13" i="38"/>
  <c r="AN27" i="10"/>
  <c r="AN29" i="10" s="1"/>
  <c r="AL19" i="28" l="1"/>
  <c r="AF15" i="51" s="1"/>
  <c r="AM11" i="28"/>
  <c r="AG7" i="51" s="1"/>
  <c r="W15" i="22"/>
  <c r="W17" i="22" s="1"/>
  <c r="W21" i="22" s="1"/>
  <c r="W23" i="31"/>
  <c r="Q38" i="51" s="1"/>
  <c r="Y23" i="9"/>
  <c r="AL17" i="31"/>
  <c r="AF32" i="51" s="1"/>
  <c r="AM11" i="16"/>
  <c r="AL82" i="20"/>
  <c r="AH25" i="31"/>
  <c r="AB40" i="51" s="1"/>
  <c r="AH28" i="9"/>
  <c r="AH30" i="9" s="1"/>
  <c r="AI36" i="9"/>
  <c r="AJ48" i="19"/>
  <c r="AJ51" i="19" s="1"/>
  <c r="AJ36" i="19" s="1"/>
  <c r="AK37" i="19" s="1"/>
  <c r="AJ32" i="19"/>
  <c r="AN11" i="13"/>
  <c r="AS21" i="34"/>
  <c r="AM60" i="51" s="1"/>
  <c r="AS12" i="18"/>
  <c r="U21" i="35"/>
  <c r="AN25" i="12"/>
  <c r="AJ40" i="20"/>
  <c r="AJ41" i="20" s="1"/>
  <c r="AJ46" i="20" s="1"/>
  <c r="AJ47" i="20" s="1"/>
  <c r="AJ35" i="20"/>
  <c r="AJ36" i="20" s="1"/>
  <c r="AK33" i="20" s="1"/>
  <c r="AL24" i="34"/>
  <c r="AF63" i="51" s="1"/>
  <c r="AM40" i="18"/>
  <c r="AM41" i="18" s="1"/>
  <c r="AM27" i="18"/>
  <c r="AM28" i="18" s="1"/>
  <c r="AM14" i="13"/>
  <c r="AM30" i="13"/>
  <c r="AM33" i="13" s="1"/>
  <c r="AI21" i="28"/>
  <c r="AC17" i="51" s="1"/>
  <c r="X11" i="31"/>
  <c r="Y11" i="9"/>
  <c r="X9" i="8"/>
  <c r="N11" i="32"/>
  <c r="AM14" i="31"/>
  <c r="AG29" i="51" s="1"/>
  <c r="AN24" i="11"/>
  <c r="N14" i="33"/>
  <c r="S14" i="32"/>
  <c r="AM14" i="34"/>
  <c r="AG53" i="51" s="1"/>
  <c r="S14" i="35"/>
  <c r="AM9" i="19"/>
  <c r="AM11" i="19" s="1"/>
  <c r="AM22" i="19" s="1"/>
  <c r="AM23" i="19" s="1"/>
  <c r="AM30" i="15"/>
  <c r="AM36" i="15" s="1"/>
  <c r="AM19" i="34"/>
  <c r="AG58" i="51" s="1"/>
  <c r="AM26" i="16"/>
  <c r="AO27" i="16" s="1"/>
  <c r="AM12" i="16"/>
  <c r="S19" i="35"/>
  <c r="AS29" i="17"/>
  <c r="AS14" i="17"/>
  <c r="AM9" i="20"/>
  <c r="AM10" i="20" s="1"/>
  <c r="S11" i="29"/>
  <c r="AM40" i="17"/>
  <c r="AM41" i="17" s="1"/>
  <c r="AN53" i="12"/>
  <c r="AN54" i="12" s="1"/>
  <c r="AN11" i="11"/>
  <c r="AN12" i="11" s="1"/>
  <c r="AN23" i="10"/>
  <c r="AN24" i="10" s="1"/>
  <c r="AJ10" i="34"/>
  <c r="AD49" i="51" s="1"/>
  <c r="R10" i="35"/>
  <c r="Z69" i="20"/>
  <c r="Z77" i="20"/>
  <c r="Z78" i="20" s="1"/>
  <c r="Y26" i="34"/>
  <c r="S65" i="51" s="1"/>
  <c r="R26" i="51" l="1"/>
  <c r="S7" i="49"/>
  <c r="AI22" i="28"/>
  <c r="AC18" i="51" s="1"/>
  <c r="X12" i="31"/>
  <c r="R27" i="51" s="1"/>
  <c r="AM42" i="18"/>
  <c r="AM33" i="18"/>
  <c r="AM46" i="18"/>
  <c r="AM47" i="18" s="1"/>
  <c r="AH27" i="31"/>
  <c r="AB42" i="51" s="1"/>
  <c r="AH16" i="22"/>
  <c r="AN16" i="37"/>
  <c r="AN71" i="12"/>
  <c r="AN73" i="12" s="1"/>
  <c r="AN63" i="12"/>
  <c r="AN65" i="12" s="1"/>
  <c r="AM29" i="18"/>
  <c r="AM14" i="18"/>
  <c r="AO14" i="16"/>
  <c r="AO28" i="16"/>
  <c r="AM46" i="17"/>
  <c r="AM47" i="17" s="1"/>
  <c r="AM42" i="17"/>
  <c r="AM33" i="17"/>
  <c r="AM14" i="20"/>
  <c r="AM15" i="20" s="1"/>
  <c r="AM20" i="20"/>
  <c r="AM21" i="20" s="1"/>
  <c r="AM34" i="20" s="1"/>
  <c r="AI37" i="9"/>
  <c r="AI38" i="9" s="1"/>
  <c r="N12" i="32"/>
  <c r="Y29" i="34"/>
  <c r="S68" i="51" s="1"/>
  <c r="AM49" i="19"/>
  <c r="AM30" i="19"/>
  <c r="AM34" i="13"/>
  <c r="AN29" i="13"/>
  <c r="AK26" i="20"/>
  <c r="AK27" i="20" s="1"/>
  <c r="Z20" i="31"/>
  <c r="T35" i="51" s="1"/>
  <c r="AA75" i="20"/>
  <c r="AM13" i="28"/>
  <c r="AG9" i="51" s="1"/>
  <c r="S13" i="29"/>
  <c r="AJ81" i="20"/>
  <c r="AJ76" i="20"/>
  <c r="AJ48" i="20"/>
  <c r="AJ19" i="31"/>
  <c r="AD34" i="51" s="1"/>
  <c r="AK29" i="19"/>
  <c r="R19" i="32"/>
  <c r="AM39" i="16"/>
  <c r="AM40" i="16" s="1"/>
  <c r="AM15" i="31"/>
  <c r="AG30" i="51" s="1"/>
  <c r="AN28" i="15"/>
  <c r="S15" i="32"/>
  <c r="N15" i="33"/>
  <c r="Z11" i="34"/>
  <c r="T50" i="51" s="1"/>
  <c r="AN10" i="37"/>
  <c r="AN24" i="12"/>
  <c r="AN26" i="12" s="1"/>
  <c r="AN31" i="12" s="1"/>
  <c r="AN33" i="12" s="1"/>
  <c r="AO20" i="10"/>
  <c r="AN16" i="19"/>
  <c r="AN17" i="19" s="1"/>
  <c r="AN42" i="15"/>
  <c r="AN20" i="15"/>
  <c r="AN25" i="11"/>
  <c r="AS18" i="34"/>
  <c r="AM57" i="51" s="1"/>
  <c r="U18" i="35"/>
  <c r="AK38" i="19"/>
  <c r="AK31" i="19"/>
  <c r="X22" i="9" l="1"/>
  <c r="X24" i="9" s="1"/>
  <c r="Z12" i="34"/>
  <c r="T51" i="51" s="1"/>
  <c r="Z21" i="31"/>
  <c r="T36" i="51" s="1"/>
  <c r="AM14" i="28"/>
  <c r="AG10" i="51" s="1"/>
  <c r="AI25" i="31"/>
  <c r="AC40" i="51" s="1"/>
  <c r="AI28" i="9"/>
  <c r="AI30" i="9" s="1"/>
  <c r="AJ36" i="9"/>
  <c r="AN15" i="37"/>
  <c r="AO60" i="12"/>
  <c r="AJ21" i="28"/>
  <c r="AD17" i="51" s="1"/>
  <c r="R21" i="29"/>
  <c r="AN17" i="37"/>
  <c r="AO70" i="12"/>
  <c r="AN17" i="11"/>
  <c r="AN18" i="11" s="1"/>
  <c r="AK40" i="20"/>
  <c r="AK41" i="20" s="1"/>
  <c r="AK46" i="20" s="1"/>
  <c r="AK47" i="20" s="1"/>
  <c r="AK35" i="20"/>
  <c r="AK36" i="20" s="1"/>
  <c r="AL33" i="20" s="1"/>
  <c r="Y12" i="9"/>
  <c r="Y13" i="9" s="1"/>
  <c r="AO20" i="34"/>
  <c r="AI59" i="51" s="1"/>
  <c r="AN21" i="19"/>
  <c r="AN43" i="15"/>
  <c r="AN45" i="15" s="1"/>
  <c r="AN21" i="15"/>
  <c r="AP22" i="15" s="1"/>
  <c r="AK10" i="34"/>
  <c r="AE49" i="51" s="1"/>
  <c r="AO28" i="10"/>
  <c r="AM25" i="20"/>
  <c r="AM39" i="20"/>
  <c r="AM9" i="31"/>
  <c r="AG24" i="51" s="1"/>
  <c r="S9" i="32"/>
  <c r="N9" i="33"/>
  <c r="X23" i="31"/>
  <c r="R38" i="51" s="1"/>
  <c r="X15" i="22"/>
  <c r="X17" i="22" s="1"/>
  <c r="X21" i="22" s="1"/>
  <c r="N23" i="32"/>
  <c r="AN11" i="37"/>
  <c r="AN20" i="17"/>
  <c r="AN22" i="17" s="1"/>
  <c r="AN13" i="15"/>
  <c r="AN14" i="15" s="1"/>
  <c r="AN21" i="13"/>
  <c r="AN24" i="13" s="1"/>
  <c r="AN48" i="12"/>
  <c r="AN50" i="12" s="1"/>
  <c r="AN39" i="12"/>
  <c r="AT41" i="12" s="1"/>
  <c r="AN17" i="9"/>
  <c r="AN18" i="9" s="1"/>
  <c r="AM45" i="16"/>
  <c r="AM46" i="16" s="1"/>
  <c r="AM41" i="16"/>
  <c r="AM32" i="16"/>
  <c r="AM22" i="34"/>
  <c r="AG61" i="51" s="1"/>
  <c r="S22" i="35"/>
  <c r="AM34" i="18"/>
  <c r="AM35" i="18" s="1"/>
  <c r="AM13" i="18" s="1"/>
  <c r="AM15" i="18" s="1"/>
  <c r="AM48" i="18"/>
  <c r="AA66" i="20"/>
  <c r="AA68" i="20" s="1"/>
  <c r="AM16" i="28"/>
  <c r="AG12" i="51" s="1"/>
  <c r="S16" i="29"/>
  <c r="Z15" i="34"/>
  <c r="T54" i="51" s="1"/>
  <c r="AK48" i="19"/>
  <c r="AK51" i="19" s="1"/>
  <c r="AK36" i="19" s="1"/>
  <c r="AL37" i="19" s="1"/>
  <c r="AK32" i="19"/>
  <c r="AM34" i="17"/>
  <c r="AM35" i="17" s="1"/>
  <c r="AM13" i="17" s="1"/>
  <c r="AM15" i="17" s="1"/>
  <c r="AM48" i="17"/>
  <c r="AM18" i="28"/>
  <c r="AG14" i="51" s="1"/>
  <c r="S18" i="29"/>
  <c r="S14" i="29" l="1"/>
  <c r="AJ22" i="28"/>
  <c r="AD18" i="51" s="1"/>
  <c r="Z23" i="9"/>
  <c r="AA69" i="20"/>
  <c r="AA77" i="20"/>
  <c r="AA78" i="20" s="1"/>
  <c r="AN8" i="28"/>
  <c r="AH4" i="51" s="1"/>
  <c r="AN19" i="16"/>
  <c r="AN21" i="16" s="1"/>
  <c r="AN26" i="11"/>
  <c r="AN27" i="11" s="1"/>
  <c r="AO27" i="10"/>
  <c r="AO29" i="10" s="1"/>
  <c r="AN32" i="15"/>
  <c r="AN15" i="15"/>
  <c r="AP8" i="34"/>
  <c r="AJ47" i="51" s="1"/>
  <c r="AP44" i="15"/>
  <c r="T8" i="35"/>
  <c r="AM17" i="28"/>
  <c r="AG13" i="51" s="1"/>
  <c r="S17" i="29"/>
  <c r="Z26" i="34"/>
  <c r="T65" i="51" s="1"/>
  <c r="AM47" i="16"/>
  <c r="AM33" i="16"/>
  <c r="AM34" i="16" s="1"/>
  <c r="AM13" i="16" s="1"/>
  <c r="AM15" i="16" s="1"/>
  <c r="AN17" i="34"/>
  <c r="AH56" i="51" s="1"/>
  <c r="AN12" i="17"/>
  <c r="AN27" i="17"/>
  <c r="AT28" i="17" s="1"/>
  <c r="AK19" i="31"/>
  <c r="AE34" i="51" s="1"/>
  <c r="AL29" i="19"/>
  <c r="AN10" i="31"/>
  <c r="AH25" i="51" s="1"/>
  <c r="AO41" i="15"/>
  <c r="AN8" i="31"/>
  <c r="AH23" i="51" s="1"/>
  <c r="AO20" i="13"/>
  <c r="AM25" i="34"/>
  <c r="AG64" i="51" s="1"/>
  <c r="S25" i="35"/>
  <c r="Y11" i="31"/>
  <c r="Z11" i="9"/>
  <c r="Y9" i="8"/>
  <c r="AI27" i="31"/>
  <c r="AC42" i="51" s="1"/>
  <c r="AI16" i="22"/>
  <c r="AN12" i="37"/>
  <c r="AN12" i="13"/>
  <c r="AN13" i="13" s="1"/>
  <c r="AO47" i="12"/>
  <c r="AN29" i="15"/>
  <c r="AN10" i="12"/>
  <c r="AN11" i="12" s="1"/>
  <c r="AL26" i="20"/>
  <c r="AL27" i="20" s="1"/>
  <c r="AL38" i="19"/>
  <c r="AL31" i="19"/>
  <c r="AM18" i="31"/>
  <c r="AG33" i="51" s="1"/>
  <c r="AN11" i="18"/>
  <c r="S18" i="32"/>
  <c r="N18" i="33"/>
  <c r="AM23" i="34"/>
  <c r="AG62" i="51" s="1"/>
  <c r="S23" i="35"/>
  <c r="AM16" i="31"/>
  <c r="AG31" i="51" s="1"/>
  <c r="AN11" i="17"/>
  <c r="N16" i="33"/>
  <c r="S16" i="32"/>
  <c r="AT13" i="37"/>
  <c r="AT20" i="18"/>
  <c r="AT22" i="18" s="1"/>
  <c r="AT61" i="12"/>
  <c r="AT49" i="12"/>
  <c r="AK48" i="20"/>
  <c r="AK76" i="20"/>
  <c r="AK81" i="20"/>
  <c r="AJ37" i="9"/>
  <c r="AJ38" i="9" s="1"/>
  <c r="R22" i="29"/>
  <c r="S26" i="51" l="1"/>
  <c r="T7" i="49"/>
  <c r="AM19" i="28"/>
  <c r="AG15" i="51" s="1"/>
  <c r="AN11" i="28"/>
  <c r="AH7" i="51" s="1"/>
  <c r="Y12" i="31"/>
  <c r="S27" i="51" s="1"/>
  <c r="AM17" i="31"/>
  <c r="AG32" i="51" s="1"/>
  <c r="AN11" i="16"/>
  <c r="S17" i="32"/>
  <c r="N17" i="33"/>
  <c r="AJ25" i="31"/>
  <c r="AD40" i="51" s="1"/>
  <c r="AJ28" i="9"/>
  <c r="AJ30" i="9" s="1"/>
  <c r="AK36" i="9"/>
  <c r="R25" i="32"/>
  <c r="AO53" i="12"/>
  <c r="AO54" i="12" s="1"/>
  <c r="AO23" i="10"/>
  <c r="AO24" i="10" s="1"/>
  <c r="AO11" i="11"/>
  <c r="AO12" i="11" s="1"/>
  <c r="AL10" i="34"/>
  <c r="AF49" i="51" s="1"/>
  <c r="AO11" i="13"/>
  <c r="AM24" i="34"/>
  <c r="AG63" i="51" s="1"/>
  <c r="S24" i="35"/>
  <c r="AN30" i="13"/>
  <c r="AN33" i="13" s="1"/>
  <c r="AN14" i="13"/>
  <c r="AL35" i="20"/>
  <c r="AL36" i="20" s="1"/>
  <c r="AM33" i="20" s="1"/>
  <c r="AL40" i="20"/>
  <c r="AL41" i="20" s="1"/>
  <c r="AL46" i="20" s="1"/>
  <c r="AL47" i="20" s="1"/>
  <c r="Z29" i="34"/>
  <c r="T68" i="51" s="1"/>
  <c r="AN14" i="31"/>
  <c r="AH29" i="51" s="1"/>
  <c r="AO24" i="11"/>
  <c r="AN19" i="34"/>
  <c r="AH58" i="51" s="1"/>
  <c r="AN26" i="16"/>
  <c r="AP27" i="16" s="1"/>
  <c r="AN12" i="16"/>
  <c r="AN9" i="19"/>
  <c r="AN11" i="19" s="1"/>
  <c r="AN22" i="19" s="1"/>
  <c r="AN23" i="19" s="1"/>
  <c r="AN30" i="15"/>
  <c r="AN36" i="15" s="1"/>
  <c r="AT14" i="17"/>
  <c r="AT29" i="17"/>
  <c r="AM82" i="20"/>
  <c r="S19" i="29"/>
  <c r="AN14" i="34"/>
  <c r="AH53" i="51" s="1"/>
  <c r="AN9" i="20"/>
  <c r="AN10" i="20" s="1"/>
  <c r="AK21" i="28"/>
  <c r="AE17" i="51" s="1"/>
  <c r="AN40" i="18"/>
  <c r="AN41" i="18" s="1"/>
  <c r="AN27" i="18"/>
  <c r="AN28" i="18" s="1"/>
  <c r="AA20" i="31"/>
  <c r="U35" i="51" s="1"/>
  <c r="AB75" i="20"/>
  <c r="L20" i="33"/>
  <c r="O20" i="32"/>
  <c r="AN40" i="17"/>
  <c r="AN41" i="17" s="1"/>
  <c r="AT21" i="34"/>
  <c r="AN60" i="51" s="1"/>
  <c r="AT12" i="18"/>
  <c r="AO25" i="12"/>
  <c r="AL48" i="19"/>
  <c r="AL51" i="19" s="1"/>
  <c r="AL36" i="19" s="1"/>
  <c r="AM37" i="19" s="1"/>
  <c r="AL32" i="19"/>
  <c r="AA11" i="34"/>
  <c r="U50" i="51" s="1"/>
  <c r="O11" i="35"/>
  <c r="Y22" i="9" l="1"/>
  <c r="Y24" i="9" s="1"/>
  <c r="AA12" i="34"/>
  <c r="U51" i="51" s="1"/>
  <c r="AA21" i="31"/>
  <c r="U36" i="51" s="1"/>
  <c r="AK22" i="28"/>
  <c r="AE18" i="51" s="1"/>
  <c r="AN15" i="31"/>
  <c r="AH30" i="51" s="1"/>
  <c r="AO28" i="15"/>
  <c r="AN33" i="17"/>
  <c r="AN46" i="17"/>
  <c r="AN47" i="17" s="1"/>
  <c r="AN42" i="17"/>
  <c r="AN29" i="18"/>
  <c r="AN14" i="18"/>
  <c r="AN20" i="20"/>
  <c r="AN21" i="20" s="1"/>
  <c r="AN34" i="20" s="1"/>
  <c r="AN14" i="20"/>
  <c r="AN15" i="20" s="1"/>
  <c r="AT18" i="34"/>
  <c r="AN57" i="51" s="1"/>
  <c r="AM26" i="20"/>
  <c r="AM27" i="20" s="1"/>
  <c r="AP14" i="16"/>
  <c r="AP28" i="16"/>
  <c r="AN13" i="28"/>
  <c r="AH9" i="51" s="1"/>
  <c r="AJ27" i="31"/>
  <c r="AD42" i="51" s="1"/>
  <c r="AJ16" i="22"/>
  <c r="R27" i="32"/>
  <c r="AB66" i="20"/>
  <c r="AB68" i="20" s="1"/>
  <c r="AN34" i="13"/>
  <c r="AN9" i="31" s="1"/>
  <c r="AH24" i="51" s="1"/>
  <c r="AO29" i="13"/>
  <c r="AL76" i="20"/>
  <c r="AL48" i="20"/>
  <c r="AL81" i="20"/>
  <c r="AN33" i="18"/>
  <c r="AN46" i="18"/>
  <c r="AN47" i="18" s="1"/>
  <c r="AN42" i="18"/>
  <c r="AA23" i="9"/>
  <c r="O21" i="32"/>
  <c r="L21" i="33"/>
  <c r="AO16" i="19"/>
  <c r="AO17" i="19" s="1"/>
  <c r="AO42" i="15"/>
  <c r="AO20" i="15"/>
  <c r="AO25" i="11"/>
  <c r="AA15" i="34"/>
  <c r="U54" i="51" s="1"/>
  <c r="O12" i="35"/>
  <c r="AL19" i="31"/>
  <c r="AF34" i="51" s="1"/>
  <c r="AM29" i="19"/>
  <c r="AN49" i="19"/>
  <c r="AN30" i="19"/>
  <c r="AO10" i="37"/>
  <c r="AO24" i="12"/>
  <c r="AO26" i="12" s="1"/>
  <c r="AO31" i="12" s="1"/>
  <c r="AO33" i="12" s="1"/>
  <c r="AP20" i="10"/>
  <c r="AN39" i="16"/>
  <c r="AN40" i="16" s="1"/>
  <c r="AM38" i="19"/>
  <c r="AM31" i="19"/>
  <c r="Z12" i="9"/>
  <c r="Z13" i="9" s="1"/>
  <c r="AO16" i="37"/>
  <c r="AO63" i="12"/>
  <c r="AO65" i="12" s="1"/>
  <c r="AO71" i="12"/>
  <c r="AO73" i="12" s="1"/>
  <c r="AK37" i="9" l="1"/>
  <c r="AK38" i="9" s="1"/>
  <c r="AN14" i="28"/>
  <c r="AH10" i="51" s="1"/>
  <c r="Y23" i="31"/>
  <c r="S38" i="51" s="1"/>
  <c r="Y15" i="22"/>
  <c r="Y17" i="22" s="1"/>
  <c r="Y21" i="22" s="1"/>
  <c r="AK25" i="31"/>
  <c r="AE40" i="51" s="1"/>
  <c r="AL36" i="9"/>
  <c r="AK28" i="9"/>
  <c r="AK30" i="9" s="1"/>
  <c r="Z11" i="31"/>
  <c r="Z9" i="8"/>
  <c r="AA11" i="9"/>
  <c r="AM40" i="20"/>
  <c r="AM41" i="20" s="1"/>
  <c r="AM46" i="20" s="1"/>
  <c r="AM47" i="20" s="1"/>
  <c r="AM35" i="20"/>
  <c r="AM36" i="20" s="1"/>
  <c r="AN33" i="20" s="1"/>
  <c r="AN22" i="34"/>
  <c r="AH61" i="51" s="1"/>
  <c r="AM10" i="34"/>
  <c r="AG49" i="51" s="1"/>
  <c r="S10" i="35"/>
  <c r="AN16" i="28"/>
  <c r="AH12" i="51" s="1"/>
  <c r="AN18" i="28"/>
  <c r="AH14" i="51" s="1"/>
  <c r="AN48" i="17"/>
  <c r="AN34" i="17"/>
  <c r="AN35" i="17" s="1"/>
  <c r="AN13" i="17" s="1"/>
  <c r="AN15" i="17" s="1"/>
  <c r="AO17" i="37"/>
  <c r="AP70" i="12"/>
  <c r="AO17" i="11"/>
  <c r="AO18" i="11" s="1"/>
  <c r="AN34" i="18"/>
  <c r="AN35" i="18" s="1"/>
  <c r="AN13" i="18" s="1"/>
  <c r="AN15" i="18" s="1"/>
  <c r="AN48" i="18"/>
  <c r="AP20" i="34"/>
  <c r="AJ59" i="51" s="1"/>
  <c r="T20" i="35"/>
  <c r="AA26" i="34"/>
  <c r="U65" i="51" s="1"/>
  <c r="O15" i="35"/>
  <c r="AO15" i="37"/>
  <c r="AP60" i="12"/>
  <c r="AP28" i="10"/>
  <c r="AO21" i="19"/>
  <c r="AO21" i="15"/>
  <c r="AQ22" i="15" s="1"/>
  <c r="AO43" i="15"/>
  <c r="AO45" i="15" s="1"/>
  <c r="AB69" i="20"/>
  <c r="AB77" i="20"/>
  <c r="AB78" i="20" s="1"/>
  <c r="AL21" i="28"/>
  <c r="AF17" i="51" s="1"/>
  <c r="AN41" i="16"/>
  <c r="AN32" i="16"/>
  <c r="AN45" i="16"/>
  <c r="AN46" i="16" s="1"/>
  <c r="AO11" i="37"/>
  <c r="AO20" i="17"/>
  <c r="AO22" i="17" s="1"/>
  <c r="AO13" i="15"/>
  <c r="AO14" i="15" s="1"/>
  <c r="AO21" i="13"/>
  <c r="AO24" i="13" s="1"/>
  <c r="AO39" i="12"/>
  <c r="AU41" i="12" s="1"/>
  <c r="AO48" i="12"/>
  <c r="AO50" i="12" s="1"/>
  <c r="AO17" i="9"/>
  <c r="AO18" i="9" s="1"/>
  <c r="AM48" i="19"/>
  <c r="AM51" i="19" s="1"/>
  <c r="AM36" i="19" s="1"/>
  <c r="AN37" i="19" s="1"/>
  <c r="AM32" i="19"/>
  <c r="AN39" i="20"/>
  <c r="AN25" i="20"/>
  <c r="T26" i="51" l="1"/>
  <c r="U7" i="49"/>
  <c r="AL22" i="28"/>
  <c r="AF18" i="51" s="1"/>
  <c r="Z12" i="31"/>
  <c r="T27" i="51" s="1"/>
  <c r="AO10" i="31"/>
  <c r="AI25" i="51" s="1"/>
  <c r="AP41" i="15"/>
  <c r="AQ8" i="34"/>
  <c r="AK47" i="51" s="1"/>
  <c r="AQ44" i="15"/>
  <c r="AN18" i="31"/>
  <c r="AH33" i="51" s="1"/>
  <c r="AO11" i="18"/>
  <c r="AN47" i="16"/>
  <c r="AN33" i="16"/>
  <c r="AN34" i="16" s="1"/>
  <c r="AN13" i="16" s="1"/>
  <c r="AN15" i="16" s="1"/>
  <c r="AN26" i="20"/>
  <c r="AN27" i="20" s="1"/>
  <c r="AO29" i="15"/>
  <c r="AO10" i="12"/>
  <c r="AO11" i="12" s="1"/>
  <c r="AM81" i="20"/>
  <c r="AM76" i="20"/>
  <c r="AM48" i="20"/>
  <c r="AB11" i="34"/>
  <c r="V50" i="51" s="1"/>
  <c r="AA29" i="34"/>
  <c r="U68" i="51" s="1"/>
  <c r="O26" i="35"/>
  <c r="AO8" i="28"/>
  <c r="AI4" i="51" s="1"/>
  <c r="AO19" i="16"/>
  <c r="AO21" i="16" s="1"/>
  <c r="AO26" i="11"/>
  <c r="AO27" i="11" s="1"/>
  <c r="AN16" i="31"/>
  <c r="AH31" i="51" s="1"/>
  <c r="AO11" i="17"/>
  <c r="AU13" i="37"/>
  <c r="AU20" i="18"/>
  <c r="AU22" i="18" s="1"/>
  <c r="AU49" i="12"/>
  <c r="AU61" i="12"/>
  <c r="AL37" i="9"/>
  <c r="AL38" i="9" s="1"/>
  <c r="AN17" i="28"/>
  <c r="AH13" i="51" s="1"/>
  <c r="AO8" i="31"/>
  <c r="AI23" i="51" s="1"/>
  <c r="AP20" i="13"/>
  <c r="AM19" i="31"/>
  <c r="AG34" i="51" s="1"/>
  <c r="AN29" i="19"/>
  <c r="S19" i="32"/>
  <c r="N19" i="33"/>
  <c r="AO15" i="15"/>
  <c r="AO32" i="15"/>
  <c r="AK27" i="31"/>
  <c r="AE42" i="51" s="1"/>
  <c r="AK16" i="22"/>
  <c r="AN23" i="34"/>
  <c r="AH62" i="51" s="1"/>
  <c r="AO12" i="37"/>
  <c r="AO12" i="13"/>
  <c r="AO13" i="13" s="1"/>
  <c r="AP47" i="12"/>
  <c r="AN31" i="19"/>
  <c r="AN38" i="19"/>
  <c r="AO17" i="34"/>
  <c r="AI56" i="51" s="1"/>
  <c r="AO27" i="17"/>
  <c r="AU28" i="17" s="1"/>
  <c r="AO12" i="17"/>
  <c r="AB20" i="31"/>
  <c r="V35" i="51" s="1"/>
  <c r="AC75" i="20"/>
  <c r="AP27" i="10"/>
  <c r="AP29" i="10" s="1"/>
  <c r="AN25" i="34"/>
  <c r="AH64" i="51" s="1"/>
  <c r="AO11" i="28" l="1"/>
  <c r="AI7" i="51" s="1"/>
  <c r="AB12" i="34"/>
  <c r="V51" i="51" s="1"/>
  <c r="AN19" i="28"/>
  <c r="AH15" i="51" s="1"/>
  <c r="Z22" i="9"/>
  <c r="Z24" i="9" s="1"/>
  <c r="AB21" i="31"/>
  <c r="V36" i="51" s="1"/>
  <c r="AL25" i="31"/>
  <c r="AF40" i="51" s="1"/>
  <c r="AM36" i="9"/>
  <c r="AL28" i="9"/>
  <c r="AL30" i="9" s="1"/>
  <c r="AO14" i="13"/>
  <c r="AO30" i="13"/>
  <c r="AO33" i="13" s="1"/>
  <c r="AU14" i="17"/>
  <c r="AU29" i="17"/>
  <c r="AO14" i="34"/>
  <c r="AI53" i="51" s="1"/>
  <c r="AO40" i="17"/>
  <c r="AO41" i="17" s="1"/>
  <c r="AN17" i="31"/>
  <c r="AH32" i="51" s="1"/>
  <c r="AO11" i="16"/>
  <c r="AA12" i="9"/>
  <c r="AA13" i="9" s="1"/>
  <c r="O29" i="35"/>
  <c r="AO9" i="19"/>
  <c r="AO11" i="19" s="1"/>
  <c r="AO22" i="19" s="1"/>
  <c r="AO23" i="19" s="1"/>
  <c r="AO30" i="15"/>
  <c r="AO36" i="15" s="1"/>
  <c r="AP53" i="12"/>
  <c r="AP54" i="12" s="1"/>
  <c r="AP11" i="11"/>
  <c r="AP12" i="11" s="1"/>
  <c r="AP23" i="10"/>
  <c r="AP24" i="10" s="1"/>
  <c r="AN10" i="34"/>
  <c r="AH49" i="51" s="1"/>
  <c r="AC66" i="20"/>
  <c r="AC68" i="20" s="1"/>
  <c r="AN48" i="19"/>
  <c r="AN51" i="19" s="1"/>
  <c r="AN36" i="19" s="1"/>
  <c r="AO37" i="19" s="1"/>
  <c r="AN32" i="19"/>
  <c r="AO9" i="20"/>
  <c r="AO10" i="20" s="1"/>
  <c r="AB15" i="34"/>
  <c r="V54" i="51" s="1"/>
  <c r="AN40" i="20"/>
  <c r="AN41" i="20" s="1"/>
  <c r="AN46" i="20" s="1"/>
  <c r="AN47" i="20" s="1"/>
  <c r="AN35" i="20"/>
  <c r="AN36" i="20" s="1"/>
  <c r="AO33" i="20" s="1"/>
  <c r="AP11" i="13"/>
  <c r="AU21" i="34"/>
  <c r="AO60" i="51" s="1"/>
  <c r="AU12" i="18"/>
  <c r="AO14" i="31"/>
  <c r="AI29" i="51" s="1"/>
  <c r="AP24" i="11"/>
  <c r="AM21" i="28"/>
  <c r="AG17" i="51" s="1"/>
  <c r="S21" i="29"/>
  <c r="AO40" i="18"/>
  <c r="AO41" i="18" s="1"/>
  <c r="AO27" i="18"/>
  <c r="AO28" i="18" s="1"/>
  <c r="AP25" i="12"/>
  <c r="AO19" i="34"/>
  <c r="AI58" i="51" s="1"/>
  <c r="AO26" i="16"/>
  <c r="AQ27" i="16" s="1"/>
  <c r="AO12" i="16"/>
  <c r="AN24" i="34"/>
  <c r="AH63" i="51" s="1"/>
  <c r="AN82" i="20" l="1"/>
  <c r="Z23" i="31"/>
  <c r="T38" i="51" s="1"/>
  <c r="Z15" i="22"/>
  <c r="Z17" i="22" s="1"/>
  <c r="Z21" i="22" s="1"/>
  <c r="AM22" i="28"/>
  <c r="AG18" i="51" s="1"/>
  <c r="AB23" i="9"/>
  <c r="AO15" i="31"/>
  <c r="AI30" i="51" s="1"/>
  <c r="AP28" i="15"/>
  <c r="AB26" i="34"/>
  <c r="V65" i="51" s="1"/>
  <c r="AC77" i="20"/>
  <c r="AC78" i="20" s="1"/>
  <c r="AC69" i="20"/>
  <c r="AU18" i="34"/>
  <c r="AO57" i="51" s="1"/>
  <c r="AO49" i="19"/>
  <c r="AO30" i="19"/>
  <c r="AO39" i="16"/>
  <c r="AO40" i="16" s="1"/>
  <c r="AP29" i="13"/>
  <c r="AO34" i="13"/>
  <c r="AO9" i="31" s="1"/>
  <c r="AI24" i="51" s="1"/>
  <c r="AQ14" i="16"/>
  <c r="AQ28" i="16"/>
  <c r="AO26" i="20"/>
  <c r="AO14" i="20"/>
  <c r="AO15" i="20" s="1"/>
  <c r="AO20" i="20"/>
  <c r="AO21" i="20" s="1"/>
  <c r="AO34" i="20" s="1"/>
  <c r="AA11" i="31"/>
  <c r="AA9" i="8"/>
  <c r="AB11" i="9"/>
  <c r="O11" i="32"/>
  <c r="L11" i="33"/>
  <c r="AO13" i="28"/>
  <c r="AI9" i="51" s="1"/>
  <c r="AP16" i="37"/>
  <c r="AP63" i="12"/>
  <c r="AP65" i="12" s="1"/>
  <c r="AP71" i="12"/>
  <c r="AP73" i="12" s="1"/>
  <c r="T16" i="38"/>
  <c r="AN48" i="20"/>
  <c r="AN81" i="20"/>
  <c r="AN76" i="20"/>
  <c r="AO46" i="17"/>
  <c r="AO47" i="17" s="1"/>
  <c r="AO42" i="17"/>
  <c r="AO33" i="17"/>
  <c r="AL27" i="31"/>
  <c r="AF42" i="51" s="1"/>
  <c r="AL16" i="22"/>
  <c r="AO29" i="18"/>
  <c r="AO14" i="18"/>
  <c r="AN19" i="31"/>
  <c r="AH34" i="51" s="1"/>
  <c r="AO29" i="19"/>
  <c r="AP10" i="37"/>
  <c r="AP24" i="12"/>
  <c r="AP26" i="12" s="1"/>
  <c r="AP31" i="12" s="1"/>
  <c r="AP33" i="12" s="1"/>
  <c r="AQ20" i="10"/>
  <c r="T10" i="38"/>
  <c r="AM37" i="9"/>
  <c r="AM38" i="9" s="1"/>
  <c r="AO33" i="18"/>
  <c r="AO46" i="18"/>
  <c r="AO47" i="18" s="1"/>
  <c r="AO42" i="18"/>
  <c r="AO38" i="19"/>
  <c r="AO31" i="19"/>
  <c r="AP16" i="19"/>
  <c r="AP17" i="19" s="1"/>
  <c r="AP20" i="15"/>
  <c r="AP42" i="15"/>
  <c r="AP25" i="11"/>
  <c r="S22" i="29" l="1"/>
  <c r="U26" i="51"/>
  <c r="V7" i="49"/>
  <c r="AA12" i="31"/>
  <c r="U27" i="51" s="1"/>
  <c r="AO14" i="28"/>
  <c r="AI10" i="51" s="1"/>
  <c r="AM25" i="31"/>
  <c r="AG40" i="51" s="1"/>
  <c r="AM28" i="9"/>
  <c r="AM30" i="9" s="1"/>
  <c r="AN36" i="9"/>
  <c r="N25" i="33"/>
  <c r="S25" i="32"/>
  <c r="AO18" i="28"/>
  <c r="AI14" i="51" s="1"/>
  <c r="AQ28" i="10"/>
  <c r="AO32" i="16"/>
  <c r="AO45" i="16"/>
  <c r="AO46" i="16" s="1"/>
  <c r="AO41" i="16"/>
  <c r="AC20" i="31"/>
  <c r="W35" i="51" s="1"/>
  <c r="AD75" i="20"/>
  <c r="AP11" i="37"/>
  <c r="AP20" i="17"/>
  <c r="AP22" i="17" s="1"/>
  <c r="AP13" i="15"/>
  <c r="AP14" i="15" s="1"/>
  <c r="AP21" i="13"/>
  <c r="AP24" i="13" s="1"/>
  <c r="AP39" i="12"/>
  <c r="AV41" i="12" s="1"/>
  <c r="AP48" i="12"/>
  <c r="AP50" i="12" s="1"/>
  <c r="AP17" i="9"/>
  <c r="AP18" i="9" s="1"/>
  <c r="T11" i="38"/>
  <c r="AP17" i="37"/>
  <c r="AQ70" i="12"/>
  <c r="AP17" i="11"/>
  <c r="AP18" i="11" s="1"/>
  <c r="T17" i="38"/>
  <c r="AO16" i="28"/>
  <c r="AI12" i="51" s="1"/>
  <c r="AP15" i="37"/>
  <c r="AQ60" i="12"/>
  <c r="T15" i="38"/>
  <c r="AQ20" i="34"/>
  <c r="AK59" i="51" s="1"/>
  <c r="AO48" i="18"/>
  <c r="AO34" i="18"/>
  <c r="AO35" i="18" s="1"/>
  <c r="AO13" i="18" s="1"/>
  <c r="AO15" i="18" s="1"/>
  <c r="AO48" i="19"/>
  <c r="AO51" i="19" s="1"/>
  <c r="AO36" i="19" s="1"/>
  <c r="AP37" i="19" s="1"/>
  <c r="AO32" i="19"/>
  <c r="AO48" i="17"/>
  <c r="AO34" i="17"/>
  <c r="AO35" i="17" s="1"/>
  <c r="AO13" i="17" s="1"/>
  <c r="AO15" i="17" s="1"/>
  <c r="L12" i="33"/>
  <c r="AB29" i="34"/>
  <c r="V68" i="51" s="1"/>
  <c r="AO10" i="34"/>
  <c r="AI49" i="51" s="1"/>
  <c r="AC11" i="34"/>
  <c r="W50" i="51" s="1"/>
  <c r="AP21" i="19"/>
  <c r="AP43" i="15"/>
  <c r="AP45" i="15" s="1"/>
  <c r="AP21" i="15"/>
  <c r="AR22" i="15" s="1"/>
  <c r="AO22" i="34"/>
  <c r="AI61" i="51" s="1"/>
  <c r="AN21" i="28"/>
  <c r="AH17" i="51" s="1"/>
  <c r="AO25" i="20"/>
  <c r="AO27" i="20" s="1"/>
  <c r="AO39" i="20"/>
  <c r="O12" i="32" l="1"/>
  <c r="AA22" i="9"/>
  <c r="AA24" i="9" s="1"/>
  <c r="AC21" i="31"/>
  <c r="W36" i="51" s="1"/>
  <c r="AC12" i="34"/>
  <c r="W51" i="51" s="1"/>
  <c r="AN22" i="28"/>
  <c r="AH18" i="51" s="1"/>
  <c r="AO16" i="31"/>
  <c r="AI31" i="51" s="1"/>
  <c r="AP11" i="17"/>
  <c r="AD66" i="20"/>
  <c r="AD68" i="20" s="1"/>
  <c r="AP29" i="15"/>
  <c r="AP10" i="12"/>
  <c r="AP11" i="12" s="1"/>
  <c r="AO17" i="28"/>
  <c r="AI13" i="51" s="1"/>
  <c r="AO18" i="31"/>
  <c r="AI33" i="51" s="1"/>
  <c r="AP11" i="18"/>
  <c r="AQ27" i="10"/>
  <c r="AQ29" i="10" s="1"/>
  <c r="AP8" i="28"/>
  <c r="AJ4" i="51" s="1"/>
  <c r="AP19" i="16"/>
  <c r="AP21" i="16" s="1"/>
  <c r="AP26" i="11"/>
  <c r="AP27" i="11" s="1"/>
  <c r="T8" i="29"/>
  <c r="AV13" i="37"/>
  <c r="AV20" i="18"/>
  <c r="AV22" i="18" s="1"/>
  <c r="AV49" i="12"/>
  <c r="AV61" i="12"/>
  <c r="V13" i="38"/>
  <c r="AO47" i="16"/>
  <c r="AO33" i="16"/>
  <c r="AO34" i="16" s="1"/>
  <c r="AO13" i="16" s="1"/>
  <c r="AO15" i="16" s="1"/>
  <c r="AO40" i="20"/>
  <c r="AO41" i="20" s="1"/>
  <c r="AO46" i="20" s="1"/>
  <c r="AO47" i="20" s="1"/>
  <c r="AO35" i="20"/>
  <c r="AO36" i="20" s="1"/>
  <c r="AP33" i="20" s="1"/>
  <c r="AP38" i="19"/>
  <c r="AP31" i="19"/>
  <c r="AP8" i="31"/>
  <c r="AJ23" i="51" s="1"/>
  <c r="AQ20" i="13"/>
  <c r="T8" i="32"/>
  <c r="AP12" i="37"/>
  <c r="AP12" i="13"/>
  <c r="AP13" i="13" s="1"/>
  <c r="AQ47" i="12"/>
  <c r="T12" i="38"/>
  <c r="AB12" i="9"/>
  <c r="AB13" i="9" s="1"/>
  <c r="AP15" i="15"/>
  <c r="AP32" i="15"/>
  <c r="AM27" i="31"/>
  <c r="AG42" i="51" s="1"/>
  <c r="AM16" i="22"/>
  <c r="S27" i="32"/>
  <c r="N27" i="33"/>
  <c r="AR8" i="34"/>
  <c r="AL47" i="51" s="1"/>
  <c r="AR44" i="15"/>
  <c r="AO19" i="31"/>
  <c r="AI34" i="51" s="1"/>
  <c r="AP29" i="19"/>
  <c r="AC15" i="34"/>
  <c r="W54" i="51" s="1"/>
  <c r="AO25" i="34"/>
  <c r="AI64" i="51" s="1"/>
  <c r="AP17" i="34"/>
  <c r="AJ56" i="51" s="1"/>
  <c r="AP27" i="17"/>
  <c r="AV28" i="17" s="1"/>
  <c r="AP12" i="17"/>
  <c r="T17" i="35"/>
  <c r="AA23" i="31"/>
  <c r="U38" i="51" s="1"/>
  <c r="AA15" i="22"/>
  <c r="AA17" i="22" s="1"/>
  <c r="AA21" i="22" s="1"/>
  <c r="L23" i="33"/>
  <c r="O23" i="32"/>
  <c r="AO23" i="34"/>
  <c r="AI62" i="51" s="1"/>
  <c r="AP10" i="31"/>
  <c r="AJ25" i="51" s="1"/>
  <c r="AQ41" i="15"/>
  <c r="T10" i="32"/>
  <c r="AO19" i="28" l="1"/>
  <c r="AI15" i="51" s="1"/>
  <c r="AN37" i="9"/>
  <c r="AN38" i="9" s="1"/>
  <c r="AP11" i="28"/>
  <c r="AJ7" i="51" s="1"/>
  <c r="AC23" i="9"/>
  <c r="AO17" i="31"/>
  <c r="AI32" i="51" s="1"/>
  <c r="AP11" i="16"/>
  <c r="AB11" i="31"/>
  <c r="AC11" i="9"/>
  <c r="AB9" i="8"/>
  <c r="AQ11" i="13"/>
  <c r="AO24" i="34"/>
  <c r="AI63" i="51" s="1"/>
  <c r="AO48" i="20"/>
  <c r="AO81" i="20"/>
  <c r="AO76" i="20"/>
  <c r="AP27" i="18"/>
  <c r="AP28" i="18" s="1"/>
  <c r="AP40" i="18"/>
  <c r="AP41" i="18" s="1"/>
  <c r="AC26" i="34"/>
  <c r="W65" i="51" s="1"/>
  <c r="AQ25" i="12"/>
  <c r="AP14" i="31"/>
  <c r="AJ29" i="51" s="1"/>
  <c r="AQ24" i="11"/>
  <c r="T14" i="32"/>
  <c r="AP19" i="34"/>
  <c r="AJ58" i="51" s="1"/>
  <c r="AP26" i="16"/>
  <c r="AR27" i="16" s="1"/>
  <c r="AP12" i="16"/>
  <c r="T19" i="35"/>
  <c r="AV14" i="17"/>
  <c r="AV29" i="17"/>
  <c r="AP48" i="19"/>
  <c r="AP30" i="13"/>
  <c r="AP33" i="13" s="1"/>
  <c r="AP14" i="13"/>
  <c r="AP10" i="34"/>
  <c r="AJ49" i="51" s="1"/>
  <c r="T10" i="35"/>
  <c r="AP9" i="20"/>
  <c r="AP10" i="20" s="1"/>
  <c r="T11" i="29"/>
  <c r="AD69" i="20"/>
  <c r="AD77" i="20"/>
  <c r="AD78" i="20" s="1"/>
  <c r="AP14" i="34"/>
  <c r="AJ53" i="51" s="1"/>
  <c r="T14" i="35"/>
  <c r="AN25" i="31"/>
  <c r="AH40" i="51" s="1"/>
  <c r="AN28" i="9"/>
  <c r="AN30" i="9" s="1"/>
  <c r="AO36" i="9"/>
  <c r="AP26" i="20"/>
  <c r="AO82" i="20"/>
  <c r="AP40" i="17"/>
  <c r="AP41" i="17" s="1"/>
  <c r="AV21" i="34"/>
  <c r="AP60" i="51" s="1"/>
  <c r="AV12" i="18"/>
  <c r="V21" i="35"/>
  <c r="AQ53" i="12"/>
  <c r="AQ54" i="12" s="1"/>
  <c r="AQ23" i="10"/>
  <c r="AQ24" i="10" s="1"/>
  <c r="AQ11" i="11"/>
  <c r="AQ12" i="11" s="1"/>
  <c r="AP9" i="19"/>
  <c r="AP11" i="19" s="1"/>
  <c r="AP22" i="19" s="1"/>
  <c r="AP23" i="19" s="1"/>
  <c r="AP30" i="15"/>
  <c r="AP36" i="15" s="1"/>
  <c r="V26" i="51" l="1"/>
  <c r="W7" i="49"/>
  <c r="AB12" i="31"/>
  <c r="V27" i="51" s="1"/>
  <c r="AP15" i="31"/>
  <c r="AJ30" i="51" s="1"/>
  <c r="AQ28" i="15"/>
  <c r="T15" i="32"/>
  <c r="AP49" i="19"/>
  <c r="AP30" i="19"/>
  <c r="AP32" i="19" s="1"/>
  <c r="AP29" i="18"/>
  <c r="AP14" i="18"/>
  <c r="AQ16" i="19"/>
  <c r="AQ17" i="19" s="1"/>
  <c r="AQ42" i="15"/>
  <c r="AQ20" i="15"/>
  <c r="AQ25" i="11"/>
  <c r="AP13" i="28"/>
  <c r="AJ9" i="51" s="1"/>
  <c r="T13" i="29"/>
  <c r="AQ10" i="37"/>
  <c r="AQ24" i="12"/>
  <c r="AQ26" i="12" s="1"/>
  <c r="AQ31" i="12" s="1"/>
  <c r="AQ33" i="12" s="1"/>
  <c r="AR20" i="10"/>
  <c r="AP42" i="17"/>
  <c r="AP46" i="17"/>
  <c r="AP47" i="17" s="1"/>
  <c r="AP33" i="17"/>
  <c r="AN27" i="31"/>
  <c r="AH42" i="51" s="1"/>
  <c r="AN16" i="22"/>
  <c r="AQ29" i="13"/>
  <c r="AP34" i="13"/>
  <c r="AQ16" i="37"/>
  <c r="AQ63" i="12"/>
  <c r="AQ65" i="12" s="1"/>
  <c r="AQ71" i="12"/>
  <c r="AQ73" i="12" s="1"/>
  <c r="AR14" i="16"/>
  <c r="AR28" i="16"/>
  <c r="AO21" i="28"/>
  <c r="AI17" i="51" s="1"/>
  <c r="AD11" i="34"/>
  <c r="X50" i="51" s="1"/>
  <c r="P11" i="35"/>
  <c r="AP14" i="20"/>
  <c r="AP15" i="20" s="1"/>
  <c r="AP20" i="20"/>
  <c r="AP21" i="20" s="1"/>
  <c r="AP34" i="20" s="1"/>
  <c r="AP51" i="19"/>
  <c r="AP36" i="19" s="1"/>
  <c r="AQ37" i="19" s="1"/>
  <c r="AD20" i="31"/>
  <c r="X35" i="51" s="1"/>
  <c r="AE75" i="20"/>
  <c r="P20" i="32"/>
  <c r="AV18" i="34"/>
  <c r="AP57" i="51" s="1"/>
  <c r="V18" i="35"/>
  <c r="AC29" i="34"/>
  <c r="W68" i="51" s="1"/>
  <c r="AP39" i="16"/>
  <c r="AP40" i="16" s="1"/>
  <c r="AP46" i="18"/>
  <c r="AP47" i="18" s="1"/>
  <c r="AP42" i="18"/>
  <c r="AP33" i="18"/>
  <c r="AD21" i="31" l="1"/>
  <c r="X36" i="51" s="1"/>
  <c r="AO22" i="28"/>
  <c r="AI18" i="51" s="1"/>
  <c r="AP14" i="28"/>
  <c r="AJ10" i="51" s="1"/>
  <c r="AD12" i="34"/>
  <c r="X51" i="51" s="1"/>
  <c r="AB22" i="9"/>
  <c r="AB24" i="9" s="1"/>
  <c r="AQ38" i="19"/>
  <c r="AQ31" i="19"/>
  <c r="AQ17" i="37"/>
  <c r="AR70" i="12"/>
  <c r="AQ17" i="11"/>
  <c r="AQ18" i="11" s="1"/>
  <c r="AQ15" i="37"/>
  <c r="AR60" i="12"/>
  <c r="AP48" i="17"/>
  <c r="AP34" i="17"/>
  <c r="AP35" i="17" s="1"/>
  <c r="AP13" i="17" s="1"/>
  <c r="AP15" i="17" s="1"/>
  <c r="AD23" i="9"/>
  <c r="P21" i="32"/>
  <c r="AP16" i="28"/>
  <c r="AJ12" i="51" s="1"/>
  <c r="T16" i="29"/>
  <c r="AP19" i="31"/>
  <c r="AJ34" i="51" s="1"/>
  <c r="AQ29" i="19"/>
  <c r="T19" i="32"/>
  <c r="AO37" i="9"/>
  <c r="AO38" i="9" s="1"/>
  <c r="AR28" i="10"/>
  <c r="AQ45" i="15"/>
  <c r="AP25" i="20"/>
  <c r="AP27" i="20" s="1"/>
  <c r="AP39" i="20"/>
  <c r="AR20" i="34"/>
  <c r="AL59" i="51" s="1"/>
  <c r="AP9" i="31"/>
  <c r="AJ24" i="51" s="1"/>
  <c r="T9" i="32"/>
  <c r="AQ11" i="37"/>
  <c r="AQ20" i="17"/>
  <c r="AQ22" i="17" s="1"/>
  <c r="AQ13" i="15"/>
  <c r="AQ14" i="15" s="1"/>
  <c r="AQ21" i="13"/>
  <c r="AQ24" i="13" s="1"/>
  <c r="AQ48" i="12"/>
  <c r="AQ50" i="12" s="1"/>
  <c r="AQ39" i="12"/>
  <c r="AW41" i="12" s="1"/>
  <c r="AQ17" i="9"/>
  <c r="AQ18" i="9" s="1"/>
  <c r="AQ21" i="19"/>
  <c r="AQ43" i="15"/>
  <c r="AQ21" i="15"/>
  <c r="AS22" i="15" s="1"/>
  <c r="AP22" i="34"/>
  <c r="AJ61" i="51" s="1"/>
  <c r="T22" i="35"/>
  <c r="AC12" i="9"/>
  <c r="AC13" i="9" s="1"/>
  <c r="AP18" i="28"/>
  <c r="AJ14" i="51" s="1"/>
  <c r="T18" i="29"/>
  <c r="AP32" i="16"/>
  <c r="AP45" i="16"/>
  <c r="AP46" i="16" s="1"/>
  <c r="AP41" i="16"/>
  <c r="AD15" i="34"/>
  <c r="X54" i="51" s="1"/>
  <c r="AP48" i="18"/>
  <c r="AP34" i="18"/>
  <c r="AP35" i="18" s="1"/>
  <c r="AP13" i="18" s="1"/>
  <c r="AP15" i="18" s="1"/>
  <c r="AE66" i="20"/>
  <c r="AE68" i="20" s="1"/>
  <c r="P12" i="35" l="1"/>
  <c r="T14" i="29"/>
  <c r="AB23" i="31"/>
  <c r="V38" i="51" s="1"/>
  <c r="AB15" i="22"/>
  <c r="AB17" i="22" s="1"/>
  <c r="AB21" i="22" s="1"/>
  <c r="AP18" i="31"/>
  <c r="AJ33" i="51" s="1"/>
  <c r="AQ11" i="18"/>
  <c r="T18" i="32"/>
  <c r="AS8" i="34"/>
  <c r="AM47" i="51" s="1"/>
  <c r="AS44" i="15"/>
  <c r="U8" i="35"/>
  <c r="AP16" i="31"/>
  <c r="AJ31" i="51" s="1"/>
  <c r="AQ11" i="17"/>
  <c r="T16" i="32"/>
  <c r="AQ32" i="15"/>
  <c r="AQ15" i="15"/>
  <c r="AP35" i="20"/>
  <c r="AP36" i="20" s="1"/>
  <c r="AQ33" i="20" s="1"/>
  <c r="AP40" i="20"/>
  <c r="AP41" i="20" s="1"/>
  <c r="AP46" i="20" s="1"/>
  <c r="AP47" i="20" s="1"/>
  <c r="AQ10" i="31"/>
  <c r="AK25" i="51" s="1"/>
  <c r="AR41" i="15"/>
  <c r="AQ48" i="19"/>
  <c r="AQ8" i="28"/>
  <c r="AK4" i="51" s="1"/>
  <c r="AQ19" i="16"/>
  <c r="AQ21" i="16" s="1"/>
  <c r="AQ26" i="11"/>
  <c r="AQ27" i="11" s="1"/>
  <c r="AP17" i="28"/>
  <c r="AJ13" i="51" s="1"/>
  <c r="T17" i="29"/>
  <c r="AP23" i="34"/>
  <c r="AJ62" i="51" s="1"/>
  <c r="T23" i="35"/>
  <c r="AQ8" i="31"/>
  <c r="AK23" i="51" s="1"/>
  <c r="AR20" i="13"/>
  <c r="AE69" i="20"/>
  <c r="AE77" i="20"/>
  <c r="AE78" i="20" s="1"/>
  <c r="AC11" i="31"/>
  <c r="AD11" i="9"/>
  <c r="AC9" i="8"/>
  <c r="AR27" i="10"/>
  <c r="AR29" i="10" s="1"/>
  <c r="AD26" i="34"/>
  <c r="X65" i="51" s="1"/>
  <c r="P15" i="35"/>
  <c r="AQ17" i="34"/>
  <c r="AK56" i="51" s="1"/>
  <c r="AQ27" i="17"/>
  <c r="AW28" i="17" s="1"/>
  <c r="AQ12" i="17"/>
  <c r="AP47" i="16"/>
  <c r="AP33" i="16"/>
  <c r="AP34" i="16" s="1"/>
  <c r="AP13" i="16" s="1"/>
  <c r="AP15" i="16" s="1"/>
  <c r="AP25" i="34"/>
  <c r="AJ64" i="51" s="1"/>
  <c r="T25" i="35"/>
  <c r="AQ29" i="15"/>
  <c r="AQ10" i="12"/>
  <c r="AQ11" i="12" s="1"/>
  <c r="AW13" i="37"/>
  <c r="AW20" i="18"/>
  <c r="AW22" i="18" s="1"/>
  <c r="AW49" i="12"/>
  <c r="AW61" i="12"/>
  <c r="AQ10" i="34"/>
  <c r="AK49" i="51" s="1"/>
  <c r="AQ12" i="37"/>
  <c r="AQ12" i="13"/>
  <c r="AQ13" i="13" s="1"/>
  <c r="AR47" i="12"/>
  <c r="AO25" i="31"/>
  <c r="AI40" i="51" s="1"/>
  <c r="AP36" i="9"/>
  <c r="AO28" i="9"/>
  <c r="AO30" i="9" s="1"/>
  <c r="W26" i="51" l="1"/>
  <c r="X7" i="49"/>
  <c r="AC12" i="31"/>
  <c r="W27" i="51" s="1"/>
  <c r="AP19" i="28"/>
  <c r="AJ15" i="51" s="1"/>
  <c r="AQ11" i="28"/>
  <c r="AK7" i="51" s="1"/>
  <c r="AQ9" i="19"/>
  <c r="AQ11" i="19" s="1"/>
  <c r="AQ22" i="19" s="1"/>
  <c r="AQ23" i="19" s="1"/>
  <c r="AQ30" i="15"/>
  <c r="AQ36" i="15" s="1"/>
  <c r="AR11" i="13"/>
  <c r="AQ40" i="17"/>
  <c r="AQ41" i="17" s="1"/>
  <c r="AR53" i="12"/>
  <c r="AR54" i="12" s="1"/>
  <c r="AR23" i="10"/>
  <c r="AR24" i="10" s="1"/>
  <c r="AR11" i="11"/>
  <c r="AR12" i="11" s="1"/>
  <c r="AW29" i="17"/>
  <c r="AW14" i="17"/>
  <c r="AQ14" i="31"/>
  <c r="AK29" i="51" s="1"/>
  <c r="AR24" i="11"/>
  <c r="AQ19" i="34"/>
  <c r="AK58" i="51" s="1"/>
  <c r="AQ26" i="16"/>
  <c r="AS27" i="16" s="1"/>
  <c r="AQ12" i="16"/>
  <c r="AQ26" i="20"/>
  <c r="AP17" i="31"/>
  <c r="AJ32" i="51" s="1"/>
  <c r="AQ11" i="16"/>
  <c r="T17" i="32"/>
  <c r="AQ14" i="13"/>
  <c r="AQ30" i="13"/>
  <c r="AQ33" i="13" s="1"/>
  <c r="AW21" i="34"/>
  <c r="AQ60" i="51" s="1"/>
  <c r="AW12" i="18"/>
  <c r="AE20" i="31"/>
  <c r="Y35" i="51" s="1"/>
  <c r="AF75" i="20"/>
  <c r="AQ14" i="34"/>
  <c r="AK53" i="51" s="1"/>
  <c r="AE11" i="34"/>
  <c r="Y50" i="51" s="1"/>
  <c r="AQ27" i="18"/>
  <c r="AQ28" i="18" s="1"/>
  <c r="AQ40" i="18"/>
  <c r="AQ41" i="18" s="1"/>
  <c r="AR25" i="12"/>
  <c r="AO27" i="31"/>
  <c r="AI42" i="51" s="1"/>
  <c r="AO16" i="22"/>
  <c r="AP24" i="34"/>
  <c r="AJ63" i="51" s="1"/>
  <c r="T24" i="35"/>
  <c r="AD29" i="34"/>
  <c r="X68" i="51" s="1"/>
  <c r="P26" i="35"/>
  <c r="AP76" i="20"/>
  <c r="AP81" i="20"/>
  <c r="AP48" i="20"/>
  <c r="T19" i="29" l="1"/>
  <c r="AP82" i="20"/>
  <c r="AE12" i="34"/>
  <c r="Y51" i="51" s="1"/>
  <c r="AQ9" i="20"/>
  <c r="AQ10" i="20" s="1"/>
  <c r="AE21" i="31"/>
  <c r="Y36" i="51" s="1"/>
  <c r="AC22" i="9"/>
  <c r="AC24" i="9" s="1"/>
  <c r="AD12" i="9"/>
  <c r="AD13" i="9" s="1"/>
  <c r="P29" i="35"/>
  <c r="AQ42" i="18"/>
  <c r="AQ46" i="18"/>
  <c r="AQ47" i="18" s="1"/>
  <c r="AQ33" i="18"/>
  <c r="AP21" i="28"/>
  <c r="AJ17" i="51" s="1"/>
  <c r="T21" i="29"/>
  <c r="AQ29" i="18"/>
  <c r="AQ14" i="18"/>
  <c r="AR16" i="19"/>
  <c r="AR17" i="19" s="1"/>
  <c r="AR42" i="15"/>
  <c r="AR20" i="15"/>
  <c r="AR25" i="11"/>
  <c r="AR10" i="37"/>
  <c r="AR24" i="12"/>
  <c r="AR26" i="12" s="1"/>
  <c r="AR31" i="12" s="1"/>
  <c r="AR33" i="12" s="1"/>
  <c r="AS20" i="10"/>
  <c r="AQ34" i="13"/>
  <c r="AQ9" i="31" s="1"/>
  <c r="AK24" i="51" s="1"/>
  <c r="AR29" i="13"/>
  <c r="AR16" i="37"/>
  <c r="AR63" i="12"/>
  <c r="AR65" i="12" s="1"/>
  <c r="AR71" i="12"/>
  <c r="AR73" i="12" s="1"/>
  <c r="AQ20" i="20"/>
  <c r="AQ21" i="20" s="1"/>
  <c r="AQ34" i="20" s="1"/>
  <c r="AQ14" i="20"/>
  <c r="AQ15" i="20" s="1"/>
  <c r="AE15" i="34"/>
  <c r="Y54" i="51" s="1"/>
  <c r="AF66" i="20"/>
  <c r="AF68" i="20" s="1"/>
  <c r="AQ13" i="28"/>
  <c r="AK9" i="51" s="1"/>
  <c r="AQ15" i="31"/>
  <c r="AK30" i="51" s="1"/>
  <c r="AR28" i="15"/>
  <c r="AQ39" i="16"/>
  <c r="AQ40" i="16" s="1"/>
  <c r="AS28" i="16"/>
  <c r="AS14" i="16"/>
  <c r="AW18" i="34"/>
  <c r="AQ57" i="51" s="1"/>
  <c r="AQ46" i="17"/>
  <c r="AQ47" i="17" s="1"/>
  <c r="AQ42" i="17"/>
  <c r="AQ33" i="17"/>
  <c r="AQ49" i="19"/>
  <c r="AQ51" i="19" s="1"/>
  <c r="AQ36" i="19" s="1"/>
  <c r="AR37" i="19" s="1"/>
  <c r="AQ30" i="19"/>
  <c r="AQ32" i="19" s="1"/>
  <c r="AE23" i="9" l="1"/>
  <c r="AC23" i="31"/>
  <c r="W38" i="51" s="1"/>
  <c r="AC15" i="22"/>
  <c r="AC17" i="22" s="1"/>
  <c r="AC21" i="22" s="1"/>
  <c r="AP22" i="28"/>
  <c r="AJ18" i="51" s="1"/>
  <c r="AQ14" i="28"/>
  <c r="AK10" i="51" s="1"/>
  <c r="AR15" i="37"/>
  <c r="AS60" i="12"/>
  <c r="AT22" i="15"/>
  <c r="AQ19" i="31"/>
  <c r="AK34" i="51" s="1"/>
  <c r="AR29" i="19"/>
  <c r="AR21" i="19"/>
  <c r="AR43" i="15"/>
  <c r="AR45" i="15" s="1"/>
  <c r="AR21" i="15"/>
  <c r="AQ18" i="28"/>
  <c r="AK14" i="51" s="1"/>
  <c r="AE26" i="34"/>
  <c r="Y65" i="51" s="1"/>
  <c r="AQ25" i="20"/>
  <c r="AQ27" i="20" s="1"/>
  <c r="AQ39" i="20"/>
  <c r="AQ48" i="18"/>
  <c r="AQ34" i="18"/>
  <c r="AQ35" i="18" s="1"/>
  <c r="AQ13" i="18" s="1"/>
  <c r="AQ15" i="18" s="1"/>
  <c r="AS20" i="34"/>
  <c r="AM59" i="51" s="1"/>
  <c r="U20" i="35"/>
  <c r="AS28" i="10"/>
  <c r="AQ22" i="34"/>
  <c r="AK61" i="51" s="1"/>
  <c r="AR31" i="19"/>
  <c r="AR38" i="19"/>
  <c r="AR11" i="37"/>
  <c r="AR20" i="17"/>
  <c r="AR22" i="17" s="1"/>
  <c r="AR13" i="15"/>
  <c r="AR14" i="15" s="1"/>
  <c r="AR21" i="13"/>
  <c r="AR24" i="13" s="1"/>
  <c r="AR39" i="12"/>
  <c r="AX41" i="12" s="1"/>
  <c r="AR48" i="12"/>
  <c r="AR50" i="12" s="1"/>
  <c r="AR17" i="9"/>
  <c r="AR18" i="9" s="1"/>
  <c r="AD11" i="31"/>
  <c r="AD9" i="8"/>
  <c r="AE11" i="9"/>
  <c r="P11" i="32"/>
  <c r="AQ16" i="28"/>
  <c r="AK12" i="51" s="1"/>
  <c r="AQ34" i="17"/>
  <c r="AQ35" i="17" s="1"/>
  <c r="AQ13" i="17" s="1"/>
  <c r="AQ15" i="17" s="1"/>
  <c r="AQ48" i="17"/>
  <c r="AQ32" i="16"/>
  <c r="AQ45" i="16"/>
  <c r="AQ46" i="16" s="1"/>
  <c r="AQ41" i="16"/>
  <c r="AF69" i="20"/>
  <c r="AF77" i="20"/>
  <c r="AF78" i="20" s="1"/>
  <c r="AR17" i="37"/>
  <c r="AS70" i="12"/>
  <c r="AR17" i="11"/>
  <c r="AR18" i="11" s="1"/>
  <c r="X26" i="51" l="1"/>
  <c r="Y7" i="49"/>
  <c r="T22" i="29"/>
  <c r="AP37" i="9"/>
  <c r="AP38" i="9" s="1"/>
  <c r="AP25" i="31" s="1"/>
  <c r="AJ40" i="51" s="1"/>
  <c r="AD12" i="31"/>
  <c r="X27" i="51" s="1"/>
  <c r="AQ18" i="31"/>
  <c r="AK33" i="51" s="1"/>
  <c r="AR11" i="18"/>
  <c r="AR10" i="31"/>
  <c r="AL25" i="51" s="1"/>
  <c r="AS41" i="15"/>
  <c r="P12" i="32"/>
  <c r="AF20" i="31"/>
  <c r="Z35" i="51" s="1"/>
  <c r="AG75" i="20"/>
  <c r="AR10" i="34"/>
  <c r="AL49" i="51" s="1"/>
  <c r="AX13" i="37"/>
  <c r="AX20" i="18"/>
  <c r="AX22" i="18" s="1"/>
  <c r="AX49" i="12"/>
  <c r="AX61" i="12"/>
  <c r="AQ36" i="9"/>
  <c r="AT8" i="34"/>
  <c r="AN47" i="51" s="1"/>
  <c r="AT44" i="15"/>
  <c r="AQ17" i="28"/>
  <c r="AK13" i="51" s="1"/>
  <c r="AR12" i="37"/>
  <c r="AR12" i="13"/>
  <c r="AR13" i="13" s="1"/>
  <c r="AS47" i="12"/>
  <c r="AR8" i="31"/>
  <c r="AL23" i="51" s="1"/>
  <c r="AS20" i="13"/>
  <c r="AE29" i="34"/>
  <c r="Y68" i="51" s="1"/>
  <c r="AR48" i="19"/>
  <c r="AS27" i="10"/>
  <c r="AS29" i="10" s="1"/>
  <c r="AF11" i="34"/>
  <c r="Z50" i="51" s="1"/>
  <c r="AR29" i="15"/>
  <c r="AR10" i="12"/>
  <c r="AR11" i="12" s="1"/>
  <c r="AQ16" i="31"/>
  <c r="AK31" i="51" s="1"/>
  <c r="AR11" i="17"/>
  <c r="AQ47" i="16"/>
  <c r="AQ33" i="16"/>
  <c r="AQ34" i="16" s="1"/>
  <c r="AQ13" i="16" s="1"/>
  <c r="AQ15" i="16" s="1"/>
  <c r="AR8" i="28"/>
  <c r="AL4" i="51" s="1"/>
  <c r="AR19" i="16"/>
  <c r="AR21" i="16" s="1"/>
  <c r="AR26" i="11"/>
  <c r="AR27" i="11" s="1"/>
  <c r="AR32" i="15"/>
  <c r="AR15" i="15"/>
  <c r="AQ40" i="20"/>
  <c r="AQ41" i="20" s="1"/>
  <c r="AQ46" i="20" s="1"/>
  <c r="AQ47" i="20" s="1"/>
  <c r="AQ35" i="20"/>
  <c r="AQ36" i="20" s="1"/>
  <c r="AR33" i="20" s="1"/>
  <c r="AQ23" i="34"/>
  <c r="AK62" i="51" s="1"/>
  <c r="AR17" i="34"/>
  <c r="AL56" i="51" s="1"/>
  <c r="AR27" i="17"/>
  <c r="AX28" i="17" s="1"/>
  <c r="AR12" i="17"/>
  <c r="AQ25" i="34"/>
  <c r="AK64" i="51" s="1"/>
  <c r="T25" i="32" l="1"/>
  <c r="AP28" i="9"/>
  <c r="AP30" i="9" s="1"/>
  <c r="AD22" i="9"/>
  <c r="AD24" i="9" s="1"/>
  <c r="AD15" i="22" s="1"/>
  <c r="AD17" i="22" s="1"/>
  <c r="AD21" i="22" s="1"/>
  <c r="AR11" i="28"/>
  <c r="AL7" i="51" s="1"/>
  <c r="AF21" i="31"/>
  <c r="Z36" i="51" s="1"/>
  <c r="AF12" i="34"/>
  <c r="Z51" i="51" s="1"/>
  <c r="AQ19" i="28"/>
  <c r="AK15" i="51" s="1"/>
  <c r="AQ17" i="31"/>
  <c r="AK32" i="51" s="1"/>
  <c r="AR11" i="16"/>
  <c r="AQ81" i="20"/>
  <c r="AQ76" i="20"/>
  <c r="AQ48" i="20"/>
  <c r="AR14" i="13"/>
  <c r="AR30" i="13"/>
  <c r="AR33" i="13" s="1"/>
  <c r="AX21" i="34"/>
  <c r="AR60" i="51" s="1"/>
  <c r="AX12" i="18"/>
  <c r="AD23" i="31"/>
  <c r="X38" i="51" s="1"/>
  <c r="P23" i="32"/>
  <c r="AR14" i="31"/>
  <c r="AL29" i="51" s="1"/>
  <c r="AS24" i="11"/>
  <c r="AR19" i="34"/>
  <c r="AL58" i="51" s="1"/>
  <c r="AR26" i="16"/>
  <c r="AT27" i="16" s="1"/>
  <c r="AR12" i="16"/>
  <c r="AE12" i="9"/>
  <c r="AE13" i="9" s="1"/>
  <c r="AS11" i="13"/>
  <c r="AP27" i="31"/>
  <c r="AJ42" i="51" s="1"/>
  <c r="AP16" i="22"/>
  <c r="T27" i="32"/>
  <c r="AR9" i="19"/>
  <c r="AR11" i="19" s="1"/>
  <c r="AR22" i="19" s="1"/>
  <c r="AR23" i="19" s="1"/>
  <c r="AR30" i="15"/>
  <c r="AR36" i="15" s="1"/>
  <c r="AR26" i="20"/>
  <c r="AR40" i="18"/>
  <c r="AR41" i="18" s="1"/>
  <c r="AR27" i="18"/>
  <c r="AR28" i="18" s="1"/>
  <c r="AX29" i="17"/>
  <c r="AX14" i="17"/>
  <c r="AQ24" i="34"/>
  <c r="AK63" i="51" s="1"/>
  <c r="AS53" i="12"/>
  <c r="AS54" i="12" s="1"/>
  <c r="AS11" i="11"/>
  <c r="AS12" i="11" s="1"/>
  <c r="AS23" i="10"/>
  <c r="AS24" i="10" s="1"/>
  <c r="AR14" i="34"/>
  <c r="AL53" i="51" s="1"/>
  <c r="AR40" i="17"/>
  <c r="AR41" i="17" s="1"/>
  <c r="AS25" i="12"/>
  <c r="AG66" i="20"/>
  <c r="AG68" i="20" s="1"/>
  <c r="AF15" i="34" l="1"/>
  <c r="Z54" i="51" s="1"/>
  <c r="AR9" i="20"/>
  <c r="AR10" i="20" s="1"/>
  <c r="AF23" i="9"/>
  <c r="AQ82" i="20"/>
  <c r="AR15" i="31"/>
  <c r="AL30" i="51" s="1"/>
  <c r="AS28" i="15"/>
  <c r="AR14" i="18"/>
  <c r="AR29" i="18"/>
  <c r="AS16" i="37"/>
  <c r="AS71" i="12"/>
  <c r="AS73" i="12" s="1"/>
  <c r="AS63" i="12"/>
  <c r="AS65" i="12" s="1"/>
  <c r="U16" i="38"/>
  <c r="AR46" i="18"/>
  <c r="AR47" i="18" s="1"/>
  <c r="AR42" i="18"/>
  <c r="AR33" i="18"/>
  <c r="AT14" i="16"/>
  <c r="AT28" i="16"/>
  <c r="AS16" i="19"/>
  <c r="AS17" i="19" s="1"/>
  <c r="AS20" i="15"/>
  <c r="AS42" i="15"/>
  <c r="AS25" i="11"/>
  <c r="AR39" i="16"/>
  <c r="AR40" i="16" s="1"/>
  <c r="AR33" i="17"/>
  <c r="AR42" i="17"/>
  <c r="AR46" i="17"/>
  <c r="AR47" i="17" s="1"/>
  <c r="AR34" i="13"/>
  <c r="AR9" i="31" s="1"/>
  <c r="AL24" i="51" s="1"/>
  <c r="AS29" i="13"/>
  <c r="AF26" i="34"/>
  <c r="Z65" i="51" s="1"/>
  <c r="AR13" i="28"/>
  <c r="AL9" i="51" s="1"/>
  <c r="AX18" i="34"/>
  <c r="AR57" i="51" s="1"/>
  <c r="AR30" i="19"/>
  <c r="AR32" i="19" s="1"/>
  <c r="AR49" i="19"/>
  <c r="AR51" i="19" s="1"/>
  <c r="AR36" i="19" s="1"/>
  <c r="AS37" i="19" s="1"/>
  <c r="AE11" i="31"/>
  <c r="AE9" i="8"/>
  <c r="AF11" i="9"/>
  <c r="AG77" i="20"/>
  <c r="AG78" i="20" s="1"/>
  <c r="AG69" i="20"/>
  <c r="AS10" i="37"/>
  <c r="AS24" i="12"/>
  <c r="AS26" i="12" s="1"/>
  <c r="AS31" i="12" s="1"/>
  <c r="AS33" i="12" s="1"/>
  <c r="AT20" i="10"/>
  <c r="O10" i="39"/>
  <c r="U10" i="38"/>
  <c r="L10" i="26"/>
  <c r="AR20" i="20"/>
  <c r="AR21" i="20" s="1"/>
  <c r="AR34" i="20" s="1"/>
  <c r="AR14" i="20"/>
  <c r="AR15" i="20" s="1"/>
  <c r="AQ21" i="28"/>
  <c r="AK17" i="51" s="1"/>
  <c r="Y26" i="51" l="1"/>
  <c r="Z7" i="49"/>
  <c r="AE12" i="31"/>
  <c r="Y27" i="51" s="1"/>
  <c r="AR14" i="28"/>
  <c r="AL10" i="51" s="1"/>
  <c r="AQ22" i="28"/>
  <c r="AK18" i="51" s="1"/>
  <c r="AG20" i="31"/>
  <c r="AA35" i="51" s="1"/>
  <c r="AH75" i="20"/>
  <c r="Q20" i="32"/>
  <c r="K20" i="24"/>
  <c r="E35" i="50" s="1"/>
  <c r="M20" i="33"/>
  <c r="AS15" i="37"/>
  <c r="AT60" i="12"/>
  <c r="O15" i="39"/>
  <c r="L15" i="26"/>
  <c r="U15" i="38"/>
  <c r="AS21" i="19"/>
  <c r="AS21" i="15"/>
  <c r="AU22" i="15" s="1"/>
  <c r="AS43" i="15"/>
  <c r="AS45" i="15" s="1"/>
  <c r="AS17" i="37"/>
  <c r="AT70" i="12"/>
  <c r="AS17" i="11"/>
  <c r="AS18" i="11" s="1"/>
  <c r="O17" i="39"/>
  <c r="L17" i="26"/>
  <c r="U17" i="38"/>
  <c r="AR16" i="28"/>
  <c r="AL12" i="51" s="1"/>
  <c r="AT20" i="34"/>
  <c r="AN59" i="51" s="1"/>
  <c r="AG11" i="34"/>
  <c r="AA50" i="51" s="1"/>
  <c r="Q11" i="35"/>
  <c r="AR22" i="34"/>
  <c r="AL61" i="51" s="1"/>
  <c r="AR39" i="20"/>
  <c r="AR25" i="20"/>
  <c r="AR27" i="20" s="1"/>
  <c r="AR48" i="17"/>
  <c r="AR34" i="17"/>
  <c r="AR35" i="17" s="1"/>
  <c r="AR13" i="17" s="1"/>
  <c r="AR15" i="17" s="1"/>
  <c r="AT28" i="10"/>
  <c r="AF29" i="34"/>
  <c r="Z68" i="51" s="1"/>
  <c r="AS11" i="37"/>
  <c r="AS20" i="17"/>
  <c r="AS22" i="17" s="1"/>
  <c r="AS13" i="15"/>
  <c r="AS14" i="15" s="1"/>
  <c r="AS21" i="13"/>
  <c r="AS24" i="13" s="1"/>
  <c r="AS39" i="12"/>
  <c r="AY41" i="12" s="1"/>
  <c r="AS48" i="12"/>
  <c r="AS50" i="12" s="1"/>
  <c r="AS17" i="9"/>
  <c r="AS18" i="9" s="1"/>
  <c r="U11" i="38"/>
  <c r="AS38" i="19"/>
  <c r="AS31" i="19"/>
  <c r="AR32" i="16"/>
  <c r="AR45" i="16"/>
  <c r="AR46" i="16" s="1"/>
  <c r="AR41" i="16"/>
  <c r="AR18" i="28"/>
  <c r="AL14" i="51" s="1"/>
  <c r="AR19" i="31"/>
  <c r="AL34" i="51" s="1"/>
  <c r="AS29" i="19"/>
  <c r="AR48" i="18"/>
  <c r="AR34" i="18"/>
  <c r="AR35" i="18" s="1"/>
  <c r="AR13" i="18" s="1"/>
  <c r="AR15" i="18" s="1"/>
  <c r="AG21" i="31" l="1"/>
  <c r="AA36" i="51" s="1"/>
  <c r="AG12" i="34"/>
  <c r="AA51" i="51" s="1"/>
  <c r="AQ37" i="9"/>
  <c r="AQ38" i="9" s="1"/>
  <c r="AE22" i="9"/>
  <c r="AE24" i="9" s="1"/>
  <c r="AU8" i="34"/>
  <c r="AO47" i="51" s="1"/>
  <c r="AU44" i="15"/>
  <c r="AS10" i="31"/>
  <c r="AM25" i="51" s="1"/>
  <c r="AT41" i="15"/>
  <c r="L10" i="24"/>
  <c r="F25" i="50" s="1"/>
  <c r="U10" i="32"/>
  <c r="O10" i="33"/>
  <c r="AR18" i="31"/>
  <c r="AL33" i="51" s="1"/>
  <c r="AS11" i="18"/>
  <c r="AS8" i="31"/>
  <c r="AM23" i="51" s="1"/>
  <c r="AT20" i="13"/>
  <c r="L8" i="24"/>
  <c r="F23" i="50" s="1"/>
  <c r="U8" i="32"/>
  <c r="O8" i="33"/>
  <c r="AS15" i="15"/>
  <c r="AS32" i="15"/>
  <c r="AS8" i="28"/>
  <c r="AM4" i="51" s="1"/>
  <c r="AS19" i="16"/>
  <c r="AS21" i="16" s="1"/>
  <c r="AS26" i="11"/>
  <c r="AS27" i="11" s="1"/>
  <c r="U8" i="29"/>
  <c r="AQ25" i="31"/>
  <c r="AK40" i="51" s="1"/>
  <c r="AQ28" i="9"/>
  <c r="AQ30" i="9" s="1"/>
  <c r="AR36" i="9"/>
  <c r="AS48" i="19"/>
  <c r="AR16" i="31"/>
  <c r="AL31" i="51" s="1"/>
  <c r="AS11" i="17"/>
  <c r="AH66" i="20"/>
  <c r="AH68" i="20" s="1"/>
  <c r="AR33" i="16"/>
  <c r="AR34" i="16" s="1"/>
  <c r="AR13" i="16" s="1"/>
  <c r="AR15" i="16" s="1"/>
  <c r="AR47" i="16"/>
  <c r="AS17" i="34"/>
  <c r="AM56" i="51" s="1"/>
  <c r="AS27" i="17"/>
  <c r="AY28" i="17" s="1"/>
  <c r="AS12" i="17"/>
  <c r="U17" i="35"/>
  <c r="AG23" i="9"/>
  <c r="K21" i="24"/>
  <c r="E36" i="50" s="1"/>
  <c r="Q21" i="32"/>
  <c r="M21" i="33"/>
  <c r="AR25" i="34"/>
  <c r="AL64" i="51" s="1"/>
  <c r="AS10" i="34"/>
  <c r="AM49" i="51" s="1"/>
  <c r="U10" i="35"/>
  <c r="AG15" i="34"/>
  <c r="AA54" i="51" s="1"/>
  <c r="Q12" i="35"/>
  <c r="AS29" i="15"/>
  <c r="AS10" i="12"/>
  <c r="AS11" i="12" s="1"/>
  <c r="AR23" i="34"/>
  <c r="AL62" i="51" s="1"/>
  <c r="AT27" i="10"/>
  <c r="AT29" i="10" s="1"/>
  <c r="AR40" i="20"/>
  <c r="AR41" i="20" s="1"/>
  <c r="AR46" i="20" s="1"/>
  <c r="AR47" i="20" s="1"/>
  <c r="AR35" i="20"/>
  <c r="AR36" i="20" s="1"/>
  <c r="AS33" i="20" s="1"/>
  <c r="AS12" i="37"/>
  <c r="AS12" i="13"/>
  <c r="AS13" i="13" s="1"/>
  <c r="AT47" i="12"/>
  <c r="O12" i="39"/>
  <c r="L12" i="26"/>
  <c r="U12" i="38"/>
  <c r="AR17" i="28"/>
  <c r="AL13" i="51" s="1"/>
  <c r="AY13" i="37"/>
  <c r="AY20" i="18"/>
  <c r="AY22" i="18" s="1"/>
  <c r="AY61" i="12"/>
  <c r="AY49" i="12"/>
  <c r="W13" i="38"/>
  <c r="AF12" i="9"/>
  <c r="AF13" i="9" s="1"/>
  <c r="AS11" i="28" l="1"/>
  <c r="AM7" i="51" s="1"/>
  <c r="AR19" i="28"/>
  <c r="AL15" i="51" s="1"/>
  <c r="AE23" i="31"/>
  <c r="Y38" i="51" s="1"/>
  <c r="AE15" i="22"/>
  <c r="AE17" i="22" s="1"/>
  <c r="AE21" i="22" s="1"/>
  <c r="AS40" i="17"/>
  <c r="AS41" i="17" s="1"/>
  <c r="AR17" i="31"/>
  <c r="AL32" i="51" s="1"/>
  <c r="AS11" i="16"/>
  <c r="AS14" i="31"/>
  <c r="AM29" i="51" s="1"/>
  <c r="AT24" i="11"/>
  <c r="U14" i="32"/>
  <c r="O14" i="33"/>
  <c r="L14" i="24"/>
  <c r="F29" i="50" s="1"/>
  <c r="AT11" i="13"/>
  <c r="AT11" i="11"/>
  <c r="AT12" i="11" s="1"/>
  <c r="AT53" i="12"/>
  <c r="AT54" i="12" s="1"/>
  <c r="AT23" i="10"/>
  <c r="AT24" i="10" s="1"/>
  <c r="AY14" i="17"/>
  <c r="AY29" i="17"/>
  <c r="AS19" i="34"/>
  <c r="AM58" i="51" s="1"/>
  <c r="AS12" i="16"/>
  <c r="AS26" i="16"/>
  <c r="AU27" i="16" s="1"/>
  <c r="U19" i="35"/>
  <c r="AS9" i="19"/>
  <c r="AS11" i="19" s="1"/>
  <c r="AS22" i="19" s="1"/>
  <c r="AS23" i="19" s="1"/>
  <c r="AS30" i="15"/>
  <c r="AS36" i="15" s="1"/>
  <c r="AS9" i="20"/>
  <c r="AS10" i="20" s="1"/>
  <c r="U11" i="29"/>
  <c r="AS27" i="18"/>
  <c r="AS28" i="18" s="1"/>
  <c r="AS40" i="18"/>
  <c r="AS41" i="18" s="1"/>
  <c r="AY21" i="34"/>
  <c r="AS60" i="51" s="1"/>
  <c r="AY12" i="18"/>
  <c r="W21" i="35"/>
  <c r="AR24" i="34"/>
  <c r="AL63" i="51" s="1"/>
  <c r="AS26" i="20"/>
  <c r="AS14" i="34"/>
  <c r="AM53" i="51" s="1"/>
  <c r="U14" i="35"/>
  <c r="AG26" i="34"/>
  <c r="AA65" i="51" s="1"/>
  <c r="Q15" i="35"/>
  <c r="AQ27" i="31"/>
  <c r="AK42" i="51" s="1"/>
  <c r="AQ16" i="22"/>
  <c r="AT25" i="12"/>
  <c r="AS30" i="13"/>
  <c r="AS33" i="13" s="1"/>
  <c r="AS14" i="13"/>
  <c r="AR81" i="20"/>
  <c r="AR76" i="20"/>
  <c r="AR48" i="20"/>
  <c r="AF11" i="31"/>
  <c r="AG11" i="9"/>
  <c r="AF9" i="8"/>
  <c r="AH77" i="20"/>
  <c r="AH78" i="20" s="1"/>
  <c r="AH69" i="20"/>
  <c r="Z26" i="51" l="1"/>
  <c r="AA7" i="49"/>
  <c r="AR82" i="20"/>
  <c r="AF12" i="31"/>
  <c r="Z27" i="51" s="1"/>
  <c r="AS15" i="31"/>
  <c r="AM30" i="51" s="1"/>
  <c r="AT28" i="15"/>
  <c r="L15" i="24"/>
  <c r="F30" i="50" s="1"/>
  <c r="U15" i="32"/>
  <c r="O15" i="33"/>
  <c r="AH11" i="34"/>
  <c r="AB50" i="51" s="1"/>
  <c r="AS13" i="28"/>
  <c r="AM9" i="51" s="1"/>
  <c r="U13" i="29"/>
  <c r="AG29" i="34"/>
  <c r="AA68" i="51" s="1"/>
  <c r="Q26" i="35"/>
  <c r="AS34" i="13"/>
  <c r="AT29" i="13"/>
  <c r="AS14" i="20"/>
  <c r="AS15" i="20" s="1"/>
  <c r="AS20" i="20"/>
  <c r="AS21" i="20" s="1"/>
  <c r="AS34" i="20" s="1"/>
  <c r="AY18" i="34"/>
  <c r="AS57" i="51" s="1"/>
  <c r="W18" i="35"/>
  <c r="AH20" i="31"/>
  <c r="AB35" i="51" s="1"/>
  <c r="AI75" i="20"/>
  <c r="AS46" i="17"/>
  <c r="AS47" i="17" s="1"/>
  <c r="AS42" i="17"/>
  <c r="AS33" i="17"/>
  <c r="AS30" i="19"/>
  <c r="AS32" i="19" s="1"/>
  <c r="AS49" i="19"/>
  <c r="AS51" i="19" s="1"/>
  <c r="AS36" i="19" s="1"/>
  <c r="AT37" i="19" s="1"/>
  <c r="AT10" i="37"/>
  <c r="AT24" i="12"/>
  <c r="AT26" i="12" s="1"/>
  <c r="AT31" i="12" s="1"/>
  <c r="AT33" i="12" s="1"/>
  <c r="AU20" i="10"/>
  <c r="AR21" i="28"/>
  <c r="AL17" i="51" s="1"/>
  <c r="AT16" i="37"/>
  <c r="AT63" i="12"/>
  <c r="AT65" i="12" s="1"/>
  <c r="AT71" i="12"/>
  <c r="AT73" i="12" s="1"/>
  <c r="AT16" i="19"/>
  <c r="AT17" i="19" s="1"/>
  <c r="AT20" i="15"/>
  <c r="AT42" i="15"/>
  <c r="AT25" i="11"/>
  <c r="AS42" i="18"/>
  <c r="AS33" i="18"/>
  <c r="AS46" i="18"/>
  <c r="AS47" i="18" s="1"/>
  <c r="AS14" i="18"/>
  <c r="AS29" i="18"/>
  <c r="AU28" i="16"/>
  <c r="AU14" i="16"/>
  <c r="AS39" i="16"/>
  <c r="AS40" i="16" s="1"/>
  <c r="AR22" i="28" l="1"/>
  <c r="AL18" i="51" s="1"/>
  <c r="AH21" i="31"/>
  <c r="AB36" i="51" s="1"/>
  <c r="AS14" i="28"/>
  <c r="AM10" i="51" s="1"/>
  <c r="AH12" i="34"/>
  <c r="AB51" i="51" s="1"/>
  <c r="AF22" i="9"/>
  <c r="AF24" i="9" s="1"/>
  <c r="AT11" i="37"/>
  <c r="AT13" i="15"/>
  <c r="AT14" i="15" s="1"/>
  <c r="AT20" i="17"/>
  <c r="AT22" i="17" s="1"/>
  <c r="AT21" i="13"/>
  <c r="AT24" i="13" s="1"/>
  <c r="AT39" i="12"/>
  <c r="AZ41" i="12" s="1"/>
  <c r="AT48" i="12"/>
  <c r="AT50" i="12" s="1"/>
  <c r="AT17" i="9"/>
  <c r="AT18" i="9" s="1"/>
  <c r="AS48" i="17"/>
  <c r="AS34" i="17"/>
  <c r="AS35" i="17" s="1"/>
  <c r="AS13" i="17" s="1"/>
  <c r="AS15" i="17" s="1"/>
  <c r="AS9" i="31"/>
  <c r="AM24" i="51" s="1"/>
  <c r="O9" i="33"/>
  <c r="L9" i="24"/>
  <c r="F24" i="50" s="1"/>
  <c r="U9" i="32"/>
  <c r="AS32" i="16"/>
  <c r="AS45" i="16"/>
  <c r="AS46" i="16" s="1"/>
  <c r="AS41" i="16"/>
  <c r="AT17" i="37"/>
  <c r="AU70" i="12"/>
  <c r="AT17" i="11"/>
  <c r="AT18" i="11" s="1"/>
  <c r="AT15" i="37"/>
  <c r="AU60" i="12"/>
  <c r="AI66" i="20"/>
  <c r="AI68" i="20" s="1"/>
  <c r="AT38" i="19"/>
  <c r="AT31" i="19"/>
  <c r="AT21" i="19"/>
  <c r="AT43" i="15"/>
  <c r="AT45" i="15" s="1"/>
  <c r="AT21" i="15"/>
  <c r="AV22" i="15" s="1"/>
  <c r="AG12" i="9"/>
  <c r="AG13" i="9" s="1"/>
  <c r="Q29" i="35"/>
  <c r="AS22" i="34"/>
  <c r="AM61" i="51" s="1"/>
  <c r="U22" i="35"/>
  <c r="AR37" i="9"/>
  <c r="AR38" i="9" s="1"/>
  <c r="AS48" i="18"/>
  <c r="AS34" i="18"/>
  <c r="AS35" i="18"/>
  <c r="AS13" i="18" s="1"/>
  <c r="AS15" i="18" s="1"/>
  <c r="AS39" i="20"/>
  <c r="AS25" i="20"/>
  <c r="AS27" i="20" s="1"/>
  <c r="AU20" i="34"/>
  <c r="AO59" i="51" s="1"/>
  <c r="AS19" i="31"/>
  <c r="AM34" i="51" s="1"/>
  <c r="AT29" i="19"/>
  <c r="O19" i="33"/>
  <c r="L19" i="24"/>
  <c r="F34" i="50" s="1"/>
  <c r="U19" i="32"/>
  <c r="AS18" i="28"/>
  <c r="AM14" i="51" s="1"/>
  <c r="U18" i="29"/>
  <c r="AU28" i="10"/>
  <c r="AS16" i="28"/>
  <c r="AM12" i="51" s="1"/>
  <c r="U16" i="29"/>
  <c r="AH23" i="9" l="1"/>
  <c r="U14" i="29"/>
  <c r="AH15" i="34"/>
  <c r="AB54" i="51" s="1"/>
  <c r="AF23" i="31"/>
  <c r="Z38" i="51" s="1"/>
  <c r="AF15" i="22"/>
  <c r="AF17" i="22" s="1"/>
  <c r="AF21" i="22" s="1"/>
  <c r="AT10" i="31"/>
  <c r="AN25" i="51" s="1"/>
  <c r="AU41" i="15"/>
  <c r="AV8" i="34"/>
  <c r="AP47" i="51" s="1"/>
  <c r="AV44" i="15"/>
  <c r="V8" i="35"/>
  <c r="AS25" i="34"/>
  <c r="AM64" i="51" s="1"/>
  <c r="U25" i="35"/>
  <c r="AT29" i="15"/>
  <c r="AT10" i="12"/>
  <c r="AT11" i="12" s="1"/>
  <c r="AG11" i="31"/>
  <c r="AH11" i="9"/>
  <c r="AG9" i="8"/>
  <c r="K11" i="24"/>
  <c r="E26" i="50" s="1"/>
  <c r="M11" i="33"/>
  <c r="Q11" i="32"/>
  <c r="AT8" i="28"/>
  <c r="AN4" i="51" s="1"/>
  <c r="AT19" i="16"/>
  <c r="AT21" i="16" s="1"/>
  <c r="AT26" i="11"/>
  <c r="AT27" i="11" s="1"/>
  <c r="AT12" i="37"/>
  <c r="AT12" i="13"/>
  <c r="AT13" i="13" s="1"/>
  <c r="AU47" i="12"/>
  <c r="AR25" i="31"/>
  <c r="AL40" i="51" s="1"/>
  <c r="AR28" i="9"/>
  <c r="AR30" i="9" s="1"/>
  <c r="AS36" i="9"/>
  <c r="AZ13" i="37"/>
  <c r="AZ20" i="18"/>
  <c r="AZ22" i="18" s="1"/>
  <c r="AZ61" i="12"/>
  <c r="AZ49" i="12"/>
  <c r="AS40" i="20"/>
  <c r="AS35" i="20"/>
  <c r="AS36" i="20" s="1"/>
  <c r="AT33" i="20" s="1"/>
  <c r="AH26" i="34"/>
  <c r="AB65" i="51" s="1"/>
  <c r="AT8" i="31"/>
  <c r="AN23" i="51" s="1"/>
  <c r="AU20" i="13"/>
  <c r="AS17" i="28"/>
  <c r="AM13" i="51" s="1"/>
  <c r="U17" i="29"/>
  <c r="AS23" i="34"/>
  <c r="AM62" i="51" s="1"/>
  <c r="U23" i="35"/>
  <c r="AT17" i="34"/>
  <c r="AN56" i="51" s="1"/>
  <c r="AT27" i="17"/>
  <c r="AZ28" i="17" s="1"/>
  <c r="AT12" i="17"/>
  <c r="AT48" i="19"/>
  <c r="AS16" i="31"/>
  <c r="AM31" i="51" s="1"/>
  <c r="AT11" i="17"/>
  <c r="L16" i="24"/>
  <c r="F31" i="50" s="1"/>
  <c r="O16" i="33"/>
  <c r="U16" i="32"/>
  <c r="AI69" i="20"/>
  <c r="AI77" i="20"/>
  <c r="AI78" i="20" s="1"/>
  <c r="AS33" i="16"/>
  <c r="AS34" i="16" s="1"/>
  <c r="AS13" i="16" s="1"/>
  <c r="AS15" i="16" s="1"/>
  <c r="AS47" i="16"/>
  <c r="AT15" i="15"/>
  <c r="AT32" i="15"/>
  <c r="AS41" i="20"/>
  <c r="AS46" i="20" s="1"/>
  <c r="AS47" i="20" s="1"/>
  <c r="AS18" i="31"/>
  <c r="AM33" i="51" s="1"/>
  <c r="AT11" i="18"/>
  <c r="L18" i="24"/>
  <c r="F33" i="50" s="1"/>
  <c r="U18" i="32"/>
  <c r="O18" i="33"/>
  <c r="AU27" i="10"/>
  <c r="AU29" i="10" s="1"/>
  <c r="AT10" i="34"/>
  <c r="AN49" i="51" s="1"/>
  <c r="AA26" i="51" l="1"/>
  <c r="AB7" i="49"/>
  <c r="AT11" i="28"/>
  <c r="AN7" i="51" s="1"/>
  <c r="AS19" i="28"/>
  <c r="AM15" i="51" s="1"/>
  <c r="AG12" i="31"/>
  <c r="AA27" i="51" s="1"/>
  <c r="AS82" i="20"/>
  <c r="U19" i="29"/>
  <c r="AI20" i="31"/>
  <c r="AC35" i="51" s="1"/>
  <c r="AJ75" i="20"/>
  <c r="AT26" i="20"/>
  <c r="AU11" i="13"/>
  <c r="AT14" i="34"/>
  <c r="AN53" i="51" s="1"/>
  <c r="AZ14" i="17"/>
  <c r="AZ29" i="17"/>
  <c r="AR27" i="31"/>
  <c r="AL42" i="51" s="1"/>
  <c r="AR16" i="22"/>
  <c r="AT14" i="31"/>
  <c r="AN29" i="51" s="1"/>
  <c r="AU24" i="11"/>
  <c r="Q12" i="32"/>
  <c r="K12" i="24"/>
  <c r="E27" i="50" s="1"/>
  <c r="M12" i="33"/>
  <c r="AS17" i="31"/>
  <c r="AM32" i="51" s="1"/>
  <c r="AT11" i="16"/>
  <c r="L17" i="24"/>
  <c r="F32" i="50" s="1"/>
  <c r="O17" i="33"/>
  <c r="U17" i="32"/>
  <c r="AU53" i="12"/>
  <c r="AU54" i="12" s="1"/>
  <c r="AU11" i="11"/>
  <c r="AU12" i="11" s="1"/>
  <c r="AU23" i="10"/>
  <c r="AU24" i="10" s="1"/>
  <c r="AT40" i="17"/>
  <c r="AT41" i="17" s="1"/>
  <c r="AS24" i="34"/>
  <c r="AM63" i="51" s="1"/>
  <c r="U24" i="35"/>
  <c r="AT19" i="34"/>
  <c r="AN58" i="51" s="1"/>
  <c r="AT26" i="16"/>
  <c r="AV27" i="16" s="1"/>
  <c r="AT12" i="16"/>
  <c r="AT9" i="19"/>
  <c r="AT11" i="19" s="1"/>
  <c r="AT22" i="19" s="1"/>
  <c r="AT23" i="19" s="1"/>
  <c r="AT30" i="15"/>
  <c r="AT36" i="15" s="1"/>
  <c r="AS48" i="20"/>
  <c r="AS81" i="20"/>
  <c r="AS76" i="20"/>
  <c r="AU25" i="12"/>
  <c r="AT9" i="20"/>
  <c r="AT10" i="20" s="1"/>
  <c r="AZ21" i="34"/>
  <c r="AT60" i="51" s="1"/>
  <c r="AZ12" i="18"/>
  <c r="AT30" i="13"/>
  <c r="AT33" i="13" s="1"/>
  <c r="AT14" i="13"/>
  <c r="AT27" i="18"/>
  <c r="AT28" i="18" s="1"/>
  <c r="AT40" i="18"/>
  <c r="AT41" i="18" s="1"/>
  <c r="AI11" i="34"/>
  <c r="AC50" i="51" s="1"/>
  <c r="AH29" i="34"/>
  <c r="AB68" i="51" s="1"/>
  <c r="AG22" i="9" l="1"/>
  <c r="AG24" i="9" s="1"/>
  <c r="AI12" i="34"/>
  <c r="AC51" i="51" s="1"/>
  <c r="AI21" i="31"/>
  <c r="AC36" i="51" s="1"/>
  <c r="AG23" i="31"/>
  <c r="AA38" i="51" s="1"/>
  <c r="AG15" i="22"/>
  <c r="AG17" i="22" s="1"/>
  <c r="AG21" i="22" s="1"/>
  <c r="M23" i="33"/>
  <c r="K23" i="24"/>
  <c r="E38" i="50" s="1"/>
  <c r="Q23" i="32"/>
  <c r="AT14" i="20"/>
  <c r="AT15" i="20" s="1"/>
  <c r="AT20" i="20"/>
  <c r="AT21" i="20" s="1"/>
  <c r="AT34" i="20" s="1"/>
  <c r="AT49" i="19"/>
  <c r="AT51" i="19" s="1"/>
  <c r="AT36" i="19" s="1"/>
  <c r="AU37" i="19" s="1"/>
  <c r="AT30" i="19"/>
  <c r="AT32" i="19" s="1"/>
  <c r="AT46" i="18"/>
  <c r="AT47" i="18" s="1"/>
  <c r="AT42" i="18"/>
  <c r="AT33" i="18"/>
  <c r="AT29" i="18"/>
  <c r="AT14" i="18"/>
  <c r="AT39" i="16"/>
  <c r="AT40" i="16" s="1"/>
  <c r="AJ66" i="20"/>
  <c r="AJ68" i="20" s="1"/>
  <c r="AT42" i="17"/>
  <c r="AT33" i="17"/>
  <c r="AT46" i="17"/>
  <c r="AT47" i="17" s="1"/>
  <c r="AH12" i="9"/>
  <c r="AH13" i="9" s="1"/>
  <c r="AT13" i="28"/>
  <c r="AN9" i="51" s="1"/>
  <c r="AT15" i="31"/>
  <c r="AN30" i="51" s="1"/>
  <c r="AU28" i="15"/>
  <c r="AU10" i="37"/>
  <c r="AU24" i="12"/>
  <c r="AU26" i="12" s="1"/>
  <c r="AU31" i="12" s="1"/>
  <c r="AU33" i="12" s="1"/>
  <c r="AV20" i="10"/>
  <c r="AT34" i="13"/>
  <c r="AT9" i="31" s="1"/>
  <c r="AN24" i="51" s="1"/>
  <c r="AU29" i="13"/>
  <c r="AV28" i="16"/>
  <c r="AV14" i="16"/>
  <c r="AU16" i="19"/>
  <c r="AU17" i="19" s="1"/>
  <c r="AU42" i="15"/>
  <c r="AU20" i="15"/>
  <c r="AU25" i="11"/>
  <c r="AZ18" i="34"/>
  <c r="AT57" i="51" s="1"/>
  <c r="AS21" i="28"/>
  <c r="AM17" i="51" s="1"/>
  <c r="U21" i="29"/>
  <c r="AU16" i="37"/>
  <c r="AU71" i="12"/>
  <c r="AU73" i="12" s="1"/>
  <c r="AU63" i="12"/>
  <c r="AU65" i="12" s="1"/>
  <c r="AI15" i="34" l="1"/>
  <c r="AC54" i="51" s="1"/>
  <c r="AI23" i="9"/>
  <c r="AT14" i="28"/>
  <c r="AN10" i="51" s="1"/>
  <c r="AS22" i="28"/>
  <c r="AM18" i="51" s="1"/>
  <c r="AJ69" i="20"/>
  <c r="AJ77" i="20"/>
  <c r="AJ78" i="20" s="1"/>
  <c r="AT48" i="18"/>
  <c r="AT34" i="18"/>
  <c r="AT35" i="18" s="1"/>
  <c r="AT13" i="18" s="1"/>
  <c r="AT15" i="18" s="1"/>
  <c r="AU17" i="37"/>
  <c r="AV70" i="12"/>
  <c r="AU17" i="11"/>
  <c r="AU18" i="11" s="1"/>
  <c r="AT32" i="16"/>
  <c r="AT45" i="16"/>
  <c r="AT46" i="16" s="1"/>
  <c r="AT41" i="16"/>
  <c r="AT19" i="31"/>
  <c r="AN34" i="51" s="1"/>
  <c r="AU29" i="19"/>
  <c r="AU11" i="37"/>
  <c r="AU20" i="17"/>
  <c r="AU22" i="17" s="1"/>
  <c r="AU13" i="15"/>
  <c r="AU14" i="15" s="1"/>
  <c r="AU39" i="12"/>
  <c r="BA41" i="12" s="1"/>
  <c r="AU21" i="13"/>
  <c r="AU24" i="13" s="1"/>
  <c r="AU48" i="12"/>
  <c r="AU50" i="12" s="1"/>
  <c r="AU17" i="9"/>
  <c r="AU18" i="9" s="1"/>
  <c r="AU21" i="19"/>
  <c r="AU43" i="15"/>
  <c r="AU45" i="15" s="1"/>
  <c r="AU21" i="15"/>
  <c r="AW22" i="15" s="1"/>
  <c r="AS37" i="9"/>
  <c r="AS38" i="9" s="1"/>
  <c r="U22" i="29"/>
  <c r="AH11" i="31"/>
  <c r="AB26" i="51" s="1"/>
  <c r="AH9" i="8"/>
  <c r="AI11" i="9"/>
  <c r="AU38" i="19"/>
  <c r="AU31" i="19"/>
  <c r="AV20" i="34"/>
  <c r="AP59" i="51" s="1"/>
  <c r="V20" i="35"/>
  <c r="AT34" i="17"/>
  <c r="AT35" i="17" s="1"/>
  <c r="AT13" i="17" s="1"/>
  <c r="AT15" i="17" s="1"/>
  <c r="AT48" i="17"/>
  <c r="AT22" i="34"/>
  <c r="AN61" i="51" s="1"/>
  <c r="AT25" i="20"/>
  <c r="AT27" i="20" s="1"/>
  <c r="AT39" i="20"/>
  <c r="AT16" i="28"/>
  <c r="AN12" i="51" s="1"/>
  <c r="AU15" i="37"/>
  <c r="AV60" i="12"/>
  <c r="AV28" i="10"/>
  <c r="AT18" i="28"/>
  <c r="AN14" i="51" s="1"/>
  <c r="AI26" i="34"/>
  <c r="AC65" i="51" s="1"/>
  <c r="AH12" i="31" l="1"/>
  <c r="AB27" i="51" s="1"/>
  <c r="AW8" i="34"/>
  <c r="AQ47" i="51" s="1"/>
  <c r="AW44" i="15"/>
  <c r="AU10" i="31"/>
  <c r="AO25" i="51" s="1"/>
  <c r="AV41" i="15"/>
  <c r="AU48" i="19"/>
  <c r="AU29" i="15"/>
  <c r="AU10" i="12"/>
  <c r="AU11" i="12" s="1"/>
  <c r="AU12" i="37"/>
  <c r="AU12" i="13"/>
  <c r="AU13" i="13" s="1"/>
  <c r="AV47" i="12"/>
  <c r="AT17" i="28"/>
  <c r="AN13" i="51" s="1"/>
  <c r="AI29" i="34"/>
  <c r="AC68" i="51" s="1"/>
  <c r="AU8" i="31"/>
  <c r="AO23" i="51" s="1"/>
  <c r="AV20" i="13"/>
  <c r="AT47" i="16"/>
  <c r="AT33" i="16"/>
  <c r="AT34" i="16" s="1"/>
  <c r="AT13" i="16" s="1"/>
  <c r="AT15" i="16" s="1"/>
  <c r="AT25" i="34"/>
  <c r="AN64" i="51" s="1"/>
  <c r="AV27" i="10"/>
  <c r="AV29" i="10" s="1"/>
  <c r="BA13" i="37"/>
  <c r="BA20" i="18"/>
  <c r="BA22" i="18" s="1"/>
  <c r="BA61" i="12"/>
  <c r="BA49" i="12"/>
  <c r="AJ20" i="31"/>
  <c r="AD35" i="51" s="1"/>
  <c r="AK75" i="20"/>
  <c r="R20" i="32"/>
  <c r="AU10" i="34"/>
  <c r="AO49" i="51" s="1"/>
  <c r="AU15" i="15"/>
  <c r="AU32" i="15"/>
  <c r="AJ11" i="34"/>
  <c r="AD50" i="51" s="1"/>
  <c r="R11" i="35"/>
  <c r="AS25" i="31"/>
  <c r="AM40" i="51" s="1"/>
  <c r="AT36" i="9"/>
  <c r="AS28" i="9"/>
  <c r="AS30" i="9" s="1"/>
  <c r="L25" i="24"/>
  <c r="F40" i="50" s="1"/>
  <c r="O25" i="33"/>
  <c r="U25" i="32"/>
  <c r="AT18" i="31"/>
  <c r="AN33" i="51" s="1"/>
  <c r="AU11" i="18"/>
  <c r="AT35" i="20"/>
  <c r="AT36" i="20" s="1"/>
  <c r="AU33" i="20" s="1"/>
  <c r="AT40" i="20"/>
  <c r="AT41" i="20" s="1"/>
  <c r="AT46" i="20" s="1"/>
  <c r="AT47" i="20" s="1"/>
  <c r="AT23" i="34"/>
  <c r="AN62" i="51" s="1"/>
  <c r="AU17" i="34"/>
  <c r="AO56" i="51" s="1"/>
  <c r="AU12" i="17"/>
  <c r="AU27" i="17"/>
  <c r="BA28" i="17" s="1"/>
  <c r="AT16" i="31"/>
  <c r="AN31" i="51" s="1"/>
  <c r="AU11" i="17"/>
  <c r="AU8" i="28"/>
  <c r="AO4" i="51" s="1"/>
  <c r="AU19" i="16"/>
  <c r="AU21" i="16" s="1"/>
  <c r="AU26" i="11"/>
  <c r="AU27" i="11" s="1"/>
  <c r="AT19" i="28" l="1"/>
  <c r="AN15" i="51" s="1"/>
  <c r="AU11" i="28"/>
  <c r="AO7" i="51" s="1"/>
  <c r="AJ21" i="31"/>
  <c r="AD36" i="51" s="1"/>
  <c r="AJ12" i="34"/>
  <c r="AD51" i="51" s="1"/>
  <c r="AH22" i="9"/>
  <c r="AH24" i="9" s="1"/>
  <c r="AT17" i="31"/>
  <c r="AN32" i="51" s="1"/>
  <c r="AU11" i="16"/>
  <c r="AT76" i="20"/>
  <c r="AT81" i="20"/>
  <c r="AT48" i="20"/>
  <c r="AU14" i="13"/>
  <c r="AU30" i="13"/>
  <c r="AU33" i="13" s="1"/>
  <c r="AI12" i="9"/>
  <c r="AI13" i="9" s="1"/>
  <c r="AU9" i="19"/>
  <c r="AU11" i="19" s="1"/>
  <c r="AU22" i="19" s="1"/>
  <c r="AU23" i="19" s="1"/>
  <c r="AU30" i="15"/>
  <c r="AU36" i="15" s="1"/>
  <c r="BA21" i="34"/>
  <c r="AU60" i="51" s="1"/>
  <c r="BA12" i="18"/>
  <c r="AU40" i="17"/>
  <c r="AU41" i="17" s="1"/>
  <c r="AS27" i="31"/>
  <c r="AM42" i="51" s="1"/>
  <c r="AS16" i="22"/>
  <c r="O27" i="33"/>
  <c r="L27" i="24"/>
  <c r="F42" i="50" s="1"/>
  <c r="U27" i="32"/>
  <c r="AU14" i="34"/>
  <c r="AO53" i="51" s="1"/>
  <c r="AK66" i="20"/>
  <c r="AK68" i="20" s="1"/>
  <c r="AT24" i="34"/>
  <c r="AN63" i="51" s="1"/>
  <c r="AU14" i="31"/>
  <c r="AO29" i="51" s="1"/>
  <c r="AV24" i="11"/>
  <c r="AJ23" i="9"/>
  <c r="R21" i="32"/>
  <c r="AV11" i="13"/>
  <c r="BA29" i="17"/>
  <c r="BA14" i="17"/>
  <c r="AU19" i="34"/>
  <c r="AO58" i="51" s="1"/>
  <c r="AU26" i="16"/>
  <c r="AW27" i="16" s="1"/>
  <c r="AU12" i="16"/>
  <c r="AU26" i="20"/>
  <c r="AV53" i="12"/>
  <c r="AV54" i="12" s="1"/>
  <c r="AV11" i="11"/>
  <c r="AV12" i="11" s="1"/>
  <c r="AV23" i="10"/>
  <c r="AV24" i="10" s="1"/>
  <c r="AT82" i="20"/>
  <c r="AU40" i="18"/>
  <c r="AU41" i="18" s="1"/>
  <c r="AU27" i="18"/>
  <c r="AU28" i="18" s="1"/>
  <c r="AV25" i="12"/>
  <c r="R12" i="35" l="1"/>
  <c r="AU9" i="20"/>
  <c r="AU10" i="20" s="1"/>
  <c r="AU20" i="20" s="1"/>
  <c r="AU21" i="20" s="1"/>
  <c r="AU34" i="20" s="1"/>
  <c r="AJ15" i="34"/>
  <c r="AD54" i="51" s="1"/>
  <c r="AH23" i="31"/>
  <c r="AB38" i="51" s="1"/>
  <c r="AH15" i="22"/>
  <c r="AH17" i="22" s="1"/>
  <c r="AH21" i="22" s="1"/>
  <c r="AU15" i="31"/>
  <c r="AO30" i="51" s="1"/>
  <c r="AV28" i="15"/>
  <c r="AU14" i="20"/>
  <c r="AU15" i="20" s="1"/>
  <c r="AU34" i="13"/>
  <c r="AU9" i="31" s="1"/>
  <c r="AO24" i="51" s="1"/>
  <c r="AV29" i="13"/>
  <c r="AI11" i="31"/>
  <c r="AC26" i="51" s="1"/>
  <c r="AI9" i="8"/>
  <c r="AJ11" i="9"/>
  <c r="AU13" i="28"/>
  <c r="AO9" i="51" s="1"/>
  <c r="AV10" i="37"/>
  <c r="AV24" i="12"/>
  <c r="AV26" i="12" s="1"/>
  <c r="AV31" i="12" s="1"/>
  <c r="AV33" i="12" s="1"/>
  <c r="AW20" i="10"/>
  <c r="V10" i="38"/>
  <c r="AK77" i="20"/>
  <c r="AK78" i="20" s="1"/>
  <c r="AK69" i="20"/>
  <c r="AT21" i="28"/>
  <c r="AN17" i="51" s="1"/>
  <c r="AV16" i="19"/>
  <c r="AV17" i="19" s="1"/>
  <c r="AV42" i="15"/>
  <c r="AV20" i="15"/>
  <c r="AV25" i="11"/>
  <c r="AW14" i="16"/>
  <c r="AW28" i="16"/>
  <c r="AU29" i="18"/>
  <c r="AU14" i="18"/>
  <c r="AU42" i="18"/>
  <c r="AU33" i="18"/>
  <c r="AU46" i="18"/>
  <c r="AU47" i="18" s="1"/>
  <c r="AV16" i="37"/>
  <c r="AV71" i="12"/>
  <c r="AV73" i="12" s="1"/>
  <c r="AV63" i="12"/>
  <c r="AV65" i="12" s="1"/>
  <c r="V16" i="38"/>
  <c r="AU49" i="19"/>
  <c r="AU51" i="19" s="1"/>
  <c r="AU36" i="19" s="1"/>
  <c r="AV37" i="19" s="1"/>
  <c r="AU30" i="19"/>
  <c r="AU32" i="19" s="1"/>
  <c r="AJ26" i="34"/>
  <c r="AD65" i="51" s="1"/>
  <c r="R15" i="35"/>
  <c r="AU39" i="16"/>
  <c r="AU40" i="16" s="1"/>
  <c r="BA18" i="34"/>
  <c r="AU57" i="51" s="1"/>
  <c r="AU42" i="17"/>
  <c r="AU33" i="17"/>
  <c r="AU46" i="17"/>
  <c r="AU47" i="17" s="1"/>
  <c r="AU14" i="28" l="1"/>
  <c r="AO10" i="51" s="1"/>
  <c r="AT22" i="28"/>
  <c r="AN18" i="51" s="1"/>
  <c r="AI12" i="31"/>
  <c r="AC27" i="51" s="1"/>
  <c r="AJ29" i="34"/>
  <c r="AD68" i="51" s="1"/>
  <c r="R26" i="35"/>
  <c r="AU34" i="17"/>
  <c r="AU48" i="17"/>
  <c r="AU35" i="17"/>
  <c r="AU13" i="17" s="1"/>
  <c r="AU15" i="17" s="1"/>
  <c r="AU22" i="34"/>
  <c r="AO61" i="51" s="1"/>
  <c r="AV21" i="19"/>
  <c r="AV43" i="15"/>
  <c r="AV45" i="15" s="1"/>
  <c r="AV21" i="15"/>
  <c r="AW28" i="10"/>
  <c r="AV15" i="37"/>
  <c r="AW60" i="12"/>
  <c r="V15" i="38"/>
  <c r="AV11" i="37"/>
  <c r="AV20" i="17"/>
  <c r="AV22" i="17" s="1"/>
  <c r="AV13" i="15"/>
  <c r="AV14" i="15" s="1"/>
  <c r="AV21" i="13"/>
  <c r="AV24" i="13" s="1"/>
  <c r="AV48" i="12"/>
  <c r="AV50" i="12" s="1"/>
  <c r="AV39" i="12"/>
  <c r="BB41" i="12" s="1"/>
  <c r="AV17" i="9"/>
  <c r="AV18" i="9" s="1"/>
  <c r="V11" i="38"/>
  <c r="AV17" i="37"/>
  <c r="AW70" i="12"/>
  <c r="AV17" i="11"/>
  <c r="AV18" i="11" s="1"/>
  <c r="V17" i="38"/>
  <c r="AW20" i="34"/>
  <c r="AQ59" i="51" s="1"/>
  <c r="AU16" i="28"/>
  <c r="AO12" i="51" s="1"/>
  <c r="AU19" i="31"/>
  <c r="AO34" i="51" s="1"/>
  <c r="AV29" i="19"/>
  <c r="AV31" i="19"/>
  <c r="AV38" i="19"/>
  <c r="AU48" i="18"/>
  <c r="AU34" i="18"/>
  <c r="AU35" i="18" s="1"/>
  <c r="AU13" i="18" s="1"/>
  <c r="AU15" i="18" s="1"/>
  <c r="AT37" i="9"/>
  <c r="AT38" i="9" s="1"/>
  <c r="AK11" i="34"/>
  <c r="AE50" i="51" s="1"/>
  <c r="AU39" i="20"/>
  <c r="AU25" i="20"/>
  <c r="AU27" i="20" s="1"/>
  <c r="AU45" i="16"/>
  <c r="AU46" i="16" s="1"/>
  <c r="AU41" i="16"/>
  <c r="AU32" i="16"/>
  <c r="AU18" i="28"/>
  <c r="AO14" i="51" s="1"/>
  <c r="AX22" i="15"/>
  <c r="AK20" i="31"/>
  <c r="AE35" i="51" s="1"/>
  <c r="AL75" i="20"/>
  <c r="AK12" i="34" l="1"/>
  <c r="AE51" i="51" s="1"/>
  <c r="AK21" i="31"/>
  <c r="AE36" i="51" s="1"/>
  <c r="AI22" i="9"/>
  <c r="AI24" i="9" s="1"/>
  <c r="AU18" i="31"/>
  <c r="AO33" i="51" s="1"/>
  <c r="AV11" i="18"/>
  <c r="AU47" i="16"/>
  <c r="AU33" i="16"/>
  <c r="AV12" i="37"/>
  <c r="AV12" i="13"/>
  <c r="AV13" i="13" s="1"/>
  <c r="AW47" i="12"/>
  <c r="V12" i="38"/>
  <c r="AV48" i="19"/>
  <c r="AV8" i="31"/>
  <c r="AP23" i="51" s="1"/>
  <c r="AW20" i="13"/>
  <c r="V8" i="32"/>
  <c r="AU16" i="31"/>
  <c r="AO31" i="51" s="1"/>
  <c r="AV11" i="17"/>
  <c r="AX8" i="34"/>
  <c r="AR47" i="51" s="1"/>
  <c r="AX44" i="15"/>
  <c r="AV32" i="15"/>
  <c r="AV15" i="15"/>
  <c r="AU23" i="34"/>
  <c r="AO62" i="51" s="1"/>
  <c r="AV10" i="31"/>
  <c r="AP25" i="51" s="1"/>
  <c r="AW41" i="15"/>
  <c r="V10" i="32"/>
  <c r="AV17" i="34"/>
  <c r="AP56" i="51" s="1"/>
  <c r="AV12" i="17"/>
  <c r="AV27" i="17"/>
  <c r="BB28" i="17" s="1"/>
  <c r="V17" i="35"/>
  <c r="AU40" i="20"/>
  <c r="AU41" i="20" s="1"/>
  <c r="AU46" i="20" s="1"/>
  <c r="AU47" i="20" s="1"/>
  <c r="AU35" i="20"/>
  <c r="AU36" i="20" s="1"/>
  <c r="AV33" i="20" s="1"/>
  <c r="AU34" i="16"/>
  <c r="AU13" i="16" s="1"/>
  <c r="AU15" i="16" s="1"/>
  <c r="AK15" i="34"/>
  <c r="AE54" i="51" s="1"/>
  <c r="AU25" i="34"/>
  <c r="AO64" i="51" s="1"/>
  <c r="AV8" i="28"/>
  <c r="AP4" i="51" s="1"/>
  <c r="AV19" i="16"/>
  <c r="AV21" i="16" s="1"/>
  <c r="AV26" i="11"/>
  <c r="AV27" i="11" s="1"/>
  <c r="V8" i="29"/>
  <c r="AV29" i="15"/>
  <c r="AV10" i="12"/>
  <c r="AV11" i="12" s="1"/>
  <c r="AW27" i="10"/>
  <c r="AW29" i="10" s="1"/>
  <c r="AT25" i="31"/>
  <c r="AN40" i="51" s="1"/>
  <c r="AU36" i="9"/>
  <c r="AT28" i="9"/>
  <c r="AT30" i="9" s="1"/>
  <c r="AL66" i="20"/>
  <c r="AL68" i="20" s="1"/>
  <c r="AU17" i="28"/>
  <c r="AO13" i="51" s="1"/>
  <c r="AV10" i="34"/>
  <c r="AP49" i="51" s="1"/>
  <c r="V10" i="35"/>
  <c r="BB13" i="37"/>
  <c r="BB20" i="18"/>
  <c r="BB22" i="18" s="1"/>
  <c r="BB61" i="12"/>
  <c r="BB49" i="12"/>
  <c r="X13" i="38"/>
  <c r="AJ12" i="9"/>
  <c r="AJ13" i="9" s="1"/>
  <c r="R29" i="35"/>
  <c r="AI23" i="31" l="1"/>
  <c r="AC38" i="51" s="1"/>
  <c r="AI15" i="22"/>
  <c r="AI17" i="22" s="1"/>
  <c r="AI21" i="22" s="1"/>
  <c r="AV11" i="28"/>
  <c r="AP7" i="51" s="1"/>
  <c r="AK23" i="9"/>
  <c r="AU19" i="28"/>
  <c r="AO15" i="51" s="1"/>
  <c r="AU81" i="20"/>
  <c r="AU76" i="20"/>
  <c r="AU48" i="20"/>
  <c r="AV19" i="34"/>
  <c r="AP58" i="51" s="1"/>
  <c r="AV26" i="16"/>
  <c r="AX27" i="16" s="1"/>
  <c r="AV12" i="16"/>
  <c r="V19" i="35"/>
  <c r="AW53" i="12"/>
  <c r="AW54" i="12" s="1"/>
  <c r="AW11" i="11"/>
  <c r="AW12" i="11" s="1"/>
  <c r="AW23" i="10"/>
  <c r="AW24" i="10" s="1"/>
  <c r="AV9" i="20"/>
  <c r="AV10" i="20" s="1"/>
  <c r="AK26" i="34"/>
  <c r="AE65" i="51" s="1"/>
  <c r="BB14" i="17"/>
  <c r="BB29" i="17"/>
  <c r="AV40" i="17"/>
  <c r="AV41" i="17" s="1"/>
  <c r="AW25" i="12"/>
  <c r="AV14" i="13"/>
  <c r="AV30" i="13"/>
  <c r="AV33" i="13" s="1"/>
  <c r="AJ11" i="31"/>
  <c r="AD26" i="51" s="1"/>
  <c r="AK11" i="9"/>
  <c r="AJ9" i="8"/>
  <c r="R11" i="32"/>
  <c r="AV26" i="20"/>
  <c r="AV14" i="34"/>
  <c r="AP53" i="51" s="1"/>
  <c r="V14" i="35"/>
  <c r="BB21" i="34"/>
  <c r="AV60" i="51" s="1"/>
  <c r="BB12" i="18"/>
  <c r="X21" i="35"/>
  <c r="AW11" i="13"/>
  <c r="AU82" i="20"/>
  <c r="AL69" i="20"/>
  <c r="AL77" i="20"/>
  <c r="AL78" i="20" s="1"/>
  <c r="AT27" i="31"/>
  <c r="AN42" i="51" s="1"/>
  <c r="AT16" i="22"/>
  <c r="AU24" i="34"/>
  <c r="AO63" i="51" s="1"/>
  <c r="AV40" i="18"/>
  <c r="AV41" i="18" s="1"/>
  <c r="AV27" i="18"/>
  <c r="AV28" i="18" s="1"/>
  <c r="AV9" i="19"/>
  <c r="AV11" i="19" s="1"/>
  <c r="AV22" i="19" s="1"/>
  <c r="AV23" i="19" s="1"/>
  <c r="AV30" i="15"/>
  <c r="AV36" i="15" s="1"/>
  <c r="AU17" i="31"/>
  <c r="AO32" i="51" s="1"/>
  <c r="AV11" i="16"/>
  <c r="AV14" i="31"/>
  <c r="AP29" i="51" s="1"/>
  <c r="AW24" i="11"/>
  <c r="V14" i="32"/>
  <c r="V11" i="29" l="1"/>
  <c r="AJ12" i="31"/>
  <c r="AD27" i="51" s="1"/>
  <c r="AV15" i="31"/>
  <c r="AP30" i="51" s="1"/>
  <c r="AW28" i="15"/>
  <c r="V15" i="32"/>
  <c r="AJ22" i="9"/>
  <c r="AJ24" i="9" s="1"/>
  <c r="R12" i="32"/>
  <c r="BB18" i="34"/>
  <c r="AV57" i="51" s="1"/>
  <c r="X18" i="35"/>
  <c r="AV39" i="16"/>
  <c r="AV40" i="16" s="1"/>
  <c r="AL20" i="31"/>
  <c r="AF35" i="51" s="1"/>
  <c r="AM75" i="20"/>
  <c r="AV34" i="13"/>
  <c r="AW29" i="13"/>
  <c r="AV20" i="20"/>
  <c r="AV21" i="20" s="1"/>
  <c r="AV34" i="20" s="1"/>
  <c r="AV14" i="20"/>
  <c r="AV15" i="20" s="1"/>
  <c r="AL11" i="34"/>
  <c r="AF50" i="51" s="1"/>
  <c r="AV13" i="28"/>
  <c r="AP9" i="51" s="1"/>
  <c r="V13" i="29"/>
  <c r="AW10" i="37"/>
  <c r="AW24" i="12"/>
  <c r="AW26" i="12" s="1"/>
  <c r="AW31" i="12" s="1"/>
  <c r="AW33" i="12" s="1"/>
  <c r="AX20" i="10"/>
  <c r="AX14" i="16"/>
  <c r="AX28" i="16"/>
  <c r="AV49" i="19"/>
  <c r="AV51" i="19" s="1"/>
  <c r="AV36" i="19" s="1"/>
  <c r="AW37" i="19" s="1"/>
  <c r="AV30" i="19"/>
  <c r="AV32" i="19" s="1"/>
  <c r="AW16" i="19"/>
  <c r="AW17" i="19" s="1"/>
  <c r="AW42" i="15"/>
  <c r="AW20" i="15"/>
  <c r="AW25" i="11"/>
  <c r="AK29" i="34"/>
  <c r="AE68" i="51" s="1"/>
  <c r="AW16" i="37"/>
  <c r="AW63" i="12"/>
  <c r="AW65" i="12" s="1"/>
  <c r="AW71" i="12"/>
  <c r="AW73" i="12" s="1"/>
  <c r="AU21" i="28"/>
  <c r="AO17" i="51" s="1"/>
  <c r="AV29" i="18"/>
  <c r="AV14" i="18"/>
  <c r="AV33" i="18"/>
  <c r="AV46" i="18"/>
  <c r="AV47" i="18" s="1"/>
  <c r="AV42" i="18"/>
  <c r="AV33" i="17"/>
  <c r="AV46" i="17"/>
  <c r="AV47" i="17" s="1"/>
  <c r="AV42" i="17"/>
  <c r="AU22" i="28" l="1"/>
  <c r="AO18" i="51" s="1"/>
  <c r="AL21" i="31"/>
  <c r="AF36" i="51" s="1"/>
  <c r="AV14" i="28"/>
  <c r="AP10" i="51" s="1"/>
  <c r="AL12" i="34"/>
  <c r="AF51" i="51" s="1"/>
  <c r="AW21" i="19"/>
  <c r="AW21" i="15"/>
  <c r="AW43" i="15"/>
  <c r="AV48" i="18"/>
  <c r="AV34" i="18"/>
  <c r="AV19" i="31"/>
  <c r="AP34" i="51" s="1"/>
  <c r="AW29" i="19"/>
  <c r="V19" i="32"/>
  <c r="AV9" i="31"/>
  <c r="AP24" i="51" s="1"/>
  <c r="V9" i="32"/>
  <c r="AW38" i="19"/>
  <c r="AW31" i="19"/>
  <c r="AX20" i="34"/>
  <c r="AR59" i="51" s="1"/>
  <c r="V14" i="29"/>
  <c r="AM66" i="20"/>
  <c r="AM68" i="20" s="1"/>
  <c r="AJ23" i="31"/>
  <c r="AD38" i="51" s="1"/>
  <c r="AJ15" i="22"/>
  <c r="AJ17" i="22" s="1"/>
  <c r="AJ21" i="22" s="1"/>
  <c r="R23" i="32"/>
  <c r="AV16" i="28"/>
  <c r="AP12" i="51" s="1"/>
  <c r="V16" i="29"/>
  <c r="AK12" i="9"/>
  <c r="AK13" i="9" s="1"/>
  <c r="AV48" i="17"/>
  <c r="AV34" i="17"/>
  <c r="AV35" i="17" s="1"/>
  <c r="AV13" i="17" s="1"/>
  <c r="AV15" i="17" s="1"/>
  <c r="AX28" i="10"/>
  <c r="AV18" i="28"/>
  <c r="AP14" i="51" s="1"/>
  <c r="V18" i="29"/>
  <c r="AU37" i="9"/>
  <c r="AU38" i="9" s="1"/>
  <c r="AV22" i="34"/>
  <c r="AP61" i="51" s="1"/>
  <c r="V22" i="35"/>
  <c r="AW17" i="37"/>
  <c r="AX70" i="12"/>
  <c r="AW17" i="11"/>
  <c r="AW18" i="11" s="1"/>
  <c r="AY22" i="15"/>
  <c r="AW11" i="37"/>
  <c r="AW20" i="17"/>
  <c r="AW22" i="17" s="1"/>
  <c r="AW13" i="15"/>
  <c r="AW14" i="15" s="1"/>
  <c r="AW39" i="12"/>
  <c r="BC41" i="12" s="1"/>
  <c r="AW48" i="12"/>
  <c r="AW50" i="12" s="1"/>
  <c r="AW21" i="13"/>
  <c r="AW24" i="13" s="1"/>
  <c r="AW17" i="9"/>
  <c r="AW18" i="9" s="1"/>
  <c r="AV39" i="20"/>
  <c r="AV25" i="20"/>
  <c r="AV27" i="20" s="1"/>
  <c r="AV41" i="16"/>
  <c r="AV32" i="16"/>
  <c r="AV45" i="16"/>
  <c r="AV46" i="16" s="1"/>
  <c r="AV35" i="18"/>
  <c r="AV13" i="18" s="1"/>
  <c r="AV15" i="18" s="1"/>
  <c r="AW15" i="37"/>
  <c r="AX60" i="12"/>
  <c r="AW45" i="15"/>
  <c r="AL23" i="9" l="1"/>
  <c r="AL15" i="34"/>
  <c r="AF54" i="51" s="1"/>
  <c r="AV18" i="31"/>
  <c r="AP33" i="51" s="1"/>
  <c r="AW11" i="18"/>
  <c r="V18" i="32"/>
  <c r="AW48" i="19"/>
  <c r="AW29" i="15"/>
  <c r="AW10" i="12"/>
  <c r="AW11" i="12" s="1"/>
  <c r="AV16" i="31"/>
  <c r="AP31" i="51" s="1"/>
  <c r="AW11" i="17"/>
  <c r="V16" i="32"/>
  <c r="AL26" i="34"/>
  <c r="AF65" i="51" s="1"/>
  <c r="AK11" i="31"/>
  <c r="AE26" i="51" s="1"/>
  <c r="AL11" i="9"/>
  <c r="AK9" i="8"/>
  <c r="AV25" i="34"/>
  <c r="AP64" i="51" s="1"/>
  <c r="V25" i="35"/>
  <c r="AY8" i="34"/>
  <c r="AS47" i="51" s="1"/>
  <c r="AY44" i="15"/>
  <c r="W8" i="35"/>
  <c r="AV47" i="16"/>
  <c r="AV33" i="16"/>
  <c r="AV34" i="16" s="1"/>
  <c r="AV13" i="16" s="1"/>
  <c r="AV15" i="16" s="1"/>
  <c r="AW8" i="28"/>
  <c r="AQ4" i="51" s="1"/>
  <c r="AW19" i="16"/>
  <c r="AW21" i="16" s="1"/>
  <c r="AW26" i="11"/>
  <c r="AW27" i="11" s="1"/>
  <c r="AW8" i="31"/>
  <c r="AQ23" i="51" s="1"/>
  <c r="AX20" i="13"/>
  <c r="AV17" i="28"/>
  <c r="AP13" i="51" s="1"/>
  <c r="V17" i="29"/>
  <c r="AW12" i="37"/>
  <c r="AW12" i="13"/>
  <c r="AW13" i="13" s="1"/>
  <c r="AX47" i="12"/>
  <c r="AM69" i="20"/>
  <c r="AM77" i="20"/>
  <c r="AM78" i="20" s="1"/>
  <c r="AW10" i="34"/>
  <c r="AQ49" i="51" s="1"/>
  <c r="AV40" i="20"/>
  <c r="AV41" i="20" s="1"/>
  <c r="AV46" i="20" s="1"/>
  <c r="AV47" i="20" s="1"/>
  <c r="AV35" i="20"/>
  <c r="AV36" i="20" s="1"/>
  <c r="AW33" i="20" s="1"/>
  <c r="BC13" i="37"/>
  <c r="BC20" i="18"/>
  <c r="BC22" i="18" s="1"/>
  <c r="BC49" i="12"/>
  <c r="BC61" i="12"/>
  <c r="AU25" i="31"/>
  <c r="AO40" i="51" s="1"/>
  <c r="AU28" i="9"/>
  <c r="AU30" i="9" s="1"/>
  <c r="AV36" i="9"/>
  <c r="AX27" i="10"/>
  <c r="AX29" i="10" s="1"/>
  <c r="AW15" i="15"/>
  <c r="AW32" i="15"/>
  <c r="AW10" i="31"/>
  <c r="AQ25" i="51" s="1"/>
  <c r="AX41" i="15"/>
  <c r="AW17" i="34"/>
  <c r="AQ56" i="51" s="1"/>
  <c r="AW27" i="17"/>
  <c r="BC28" i="17" s="1"/>
  <c r="AW12" i="17"/>
  <c r="AV23" i="34"/>
  <c r="AP62" i="51" s="1"/>
  <c r="V23" i="35"/>
  <c r="AW11" i="28" l="1"/>
  <c r="AQ7" i="51" s="1"/>
  <c r="AV19" i="28"/>
  <c r="AP15" i="51" s="1"/>
  <c r="AK12" i="31"/>
  <c r="AE27" i="51" s="1"/>
  <c r="AV76" i="20"/>
  <c r="AV48" i="20"/>
  <c r="AV81" i="20"/>
  <c r="AW14" i="13"/>
  <c r="AW30" i="13"/>
  <c r="AW33" i="13" s="1"/>
  <c r="AW9" i="19"/>
  <c r="AW11" i="19" s="1"/>
  <c r="AW22" i="19" s="1"/>
  <c r="AW23" i="19" s="1"/>
  <c r="AW30" i="15"/>
  <c r="AW36" i="15" s="1"/>
  <c r="AW14" i="31"/>
  <c r="AQ29" i="51" s="1"/>
  <c r="AX24" i="11"/>
  <c r="AL29" i="34"/>
  <c r="AF68" i="51" s="1"/>
  <c r="AW19" i="34"/>
  <c r="AQ58" i="51" s="1"/>
  <c r="AW26" i="16"/>
  <c r="AY27" i="16" s="1"/>
  <c r="AW12" i="16"/>
  <c r="AX53" i="12"/>
  <c r="AX54" i="12" s="1"/>
  <c r="AX11" i="11"/>
  <c r="AX12" i="11" s="1"/>
  <c r="AX23" i="10"/>
  <c r="AX24" i="10" s="1"/>
  <c r="BC21" i="34"/>
  <c r="AW60" i="51" s="1"/>
  <c r="BC12" i="18"/>
  <c r="AV82" i="20"/>
  <c r="AW9" i="20"/>
  <c r="AW10" i="20" s="1"/>
  <c r="AV17" i="31"/>
  <c r="AP32" i="51" s="1"/>
  <c r="AW11" i="16"/>
  <c r="V17" i="32"/>
  <c r="AW14" i="34"/>
  <c r="AQ53" i="51" s="1"/>
  <c r="BC14" i="17"/>
  <c r="BC29" i="17"/>
  <c r="AM20" i="31"/>
  <c r="AG35" i="51" s="1"/>
  <c r="AN75" i="20"/>
  <c r="S20" i="32"/>
  <c r="N20" i="33"/>
  <c r="AM11" i="34"/>
  <c r="AG50" i="51" s="1"/>
  <c r="S11" i="35"/>
  <c r="AX11" i="13"/>
  <c r="AW40" i="18"/>
  <c r="AW41" i="18" s="1"/>
  <c r="AW27" i="18"/>
  <c r="AW28" i="18" s="1"/>
  <c r="AU27" i="31"/>
  <c r="AO42" i="51" s="1"/>
  <c r="AU16" i="22"/>
  <c r="AW26" i="20"/>
  <c r="AX25" i="12"/>
  <c r="AV24" i="34"/>
  <c r="AP63" i="51" s="1"/>
  <c r="V24" i="35"/>
  <c r="AW40" i="17"/>
  <c r="AW41" i="17" s="1"/>
  <c r="V19" i="29" l="1"/>
  <c r="AM21" i="31"/>
  <c r="AG36" i="51" s="1"/>
  <c r="AK22" i="9"/>
  <c r="AK24" i="9" s="1"/>
  <c r="AM12" i="34"/>
  <c r="AG51" i="51" s="1"/>
  <c r="AL12" i="9"/>
  <c r="AL13" i="9" s="1"/>
  <c r="AW14" i="20"/>
  <c r="AW15" i="20" s="1"/>
  <c r="AW20" i="20"/>
  <c r="AW21" i="20" s="1"/>
  <c r="AW34" i="20" s="1"/>
  <c r="AW15" i="31"/>
  <c r="AQ30" i="51" s="1"/>
  <c r="AX28" i="15"/>
  <c r="AW34" i="13"/>
  <c r="AW9" i="31" s="1"/>
  <c r="AQ24" i="51" s="1"/>
  <c r="AX29" i="13"/>
  <c r="AN66" i="20"/>
  <c r="AN68" i="20" s="1"/>
  <c r="AW46" i="17"/>
  <c r="AW47" i="17" s="1"/>
  <c r="AW33" i="17"/>
  <c r="AW42" i="17"/>
  <c r="AM23" i="9"/>
  <c r="S21" i="32"/>
  <c r="AW13" i="28"/>
  <c r="AQ9" i="51" s="1"/>
  <c r="AW33" i="18"/>
  <c r="AW46" i="18"/>
  <c r="AW47" i="18" s="1"/>
  <c r="AW42" i="18"/>
  <c r="AW39" i="16"/>
  <c r="AW40" i="16" s="1"/>
  <c r="AX10" i="37"/>
  <c r="AX24" i="12"/>
  <c r="AX26" i="12" s="1"/>
  <c r="AX31" i="12" s="1"/>
  <c r="AX33" i="12" s="1"/>
  <c r="AY20" i="10"/>
  <c r="AY14" i="16"/>
  <c r="AY28" i="16"/>
  <c r="AW29" i="18"/>
  <c r="AW14" i="18"/>
  <c r="BC18" i="34"/>
  <c r="AW57" i="51" s="1"/>
  <c r="AX16" i="19"/>
  <c r="AX17" i="19" s="1"/>
  <c r="AX20" i="15"/>
  <c r="AX42" i="15"/>
  <c r="AX25" i="11"/>
  <c r="AW49" i="19"/>
  <c r="AW51" i="19" s="1"/>
  <c r="AW36" i="19" s="1"/>
  <c r="AX37" i="19" s="1"/>
  <c r="AW30" i="19"/>
  <c r="AW32" i="19" s="1"/>
  <c r="AV21" i="28"/>
  <c r="AP17" i="51" s="1"/>
  <c r="V21" i="29"/>
  <c r="AM15" i="34"/>
  <c r="AG54" i="51" s="1"/>
  <c r="S12" i="35"/>
  <c r="AX16" i="37"/>
  <c r="AX63" i="12"/>
  <c r="AX65" i="12" s="1"/>
  <c r="AX71" i="12"/>
  <c r="AX73" i="12" s="1"/>
  <c r="N21" i="33" l="1"/>
  <c r="AW14" i="28"/>
  <c r="AQ10" i="51" s="1"/>
  <c r="AK23" i="31"/>
  <c r="AE38" i="51" s="1"/>
  <c r="AK15" i="22"/>
  <c r="AK17" i="22" s="1"/>
  <c r="AK21" i="22" s="1"/>
  <c r="AV22" i="28"/>
  <c r="AP18" i="51" s="1"/>
  <c r="AW48" i="18"/>
  <c r="AW34" i="18"/>
  <c r="AW35" i="18" s="1"/>
  <c r="AW13" i="18" s="1"/>
  <c r="AW15" i="18" s="1"/>
  <c r="AX21" i="19"/>
  <c r="AX43" i="15"/>
  <c r="AX45" i="15" s="1"/>
  <c r="AX21" i="15"/>
  <c r="AZ22" i="15" s="1"/>
  <c r="AW16" i="28"/>
  <c r="AQ12" i="51" s="1"/>
  <c r="AY28" i="10"/>
  <c r="AW48" i="17"/>
  <c r="AW34" i="17"/>
  <c r="AW35" i="17" s="1"/>
  <c r="AW13" i="17" s="1"/>
  <c r="AW15" i="17" s="1"/>
  <c r="AX17" i="37"/>
  <c r="AY70" i="12"/>
  <c r="AX17" i="11"/>
  <c r="AX18" i="11" s="1"/>
  <c r="AX15" i="37"/>
  <c r="AY60" i="12"/>
  <c r="AW39" i="20"/>
  <c r="AW25" i="20"/>
  <c r="AW27" i="20" s="1"/>
  <c r="V22" i="29"/>
  <c r="AX38" i="19"/>
  <c r="AX31" i="19"/>
  <c r="AW32" i="16"/>
  <c r="AW45" i="16"/>
  <c r="AW46" i="16" s="1"/>
  <c r="AW41" i="16"/>
  <c r="AN69" i="20"/>
  <c r="AN77" i="20"/>
  <c r="AN78" i="20" s="1"/>
  <c r="AX11" i="37"/>
  <c r="AX20" i="17"/>
  <c r="AX22" i="17" s="1"/>
  <c r="AX13" i="15"/>
  <c r="AX14" i="15" s="1"/>
  <c r="AX39" i="12"/>
  <c r="BD41" i="12" s="1"/>
  <c r="AX48" i="12"/>
  <c r="AX50" i="12" s="1"/>
  <c r="AX21" i="13"/>
  <c r="AX24" i="13" s="1"/>
  <c r="AX17" i="9"/>
  <c r="AX18" i="9" s="1"/>
  <c r="AW19" i="31"/>
  <c r="AQ34" i="51" s="1"/>
  <c r="AX29" i="19"/>
  <c r="AW22" i="34"/>
  <c r="AQ61" i="51" s="1"/>
  <c r="AM26" i="34"/>
  <c r="AG65" i="51" s="1"/>
  <c r="S15" i="35"/>
  <c r="AY20" i="34"/>
  <c r="AS59" i="51" s="1"/>
  <c r="W20" i="35"/>
  <c r="AW18" i="28"/>
  <c r="AQ14" i="51" s="1"/>
  <c r="AL11" i="31"/>
  <c r="AF26" i="51" s="1"/>
  <c r="AL9" i="8"/>
  <c r="AM11" i="9"/>
  <c r="AV37" i="9" l="1"/>
  <c r="AV38" i="9" s="1"/>
  <c r="AL12" i="31"/>
  <c r="AF27" i="51" s="1"/>
  <c r="AW16" i="31"/>
  <c r="AQ31" i="51" s="1"/>
  <c r="AX11" i="17"/>
  <c r="AW18" i="31"/>
  <c r="AQ33" i="51" s="1"/>
  <c r="AX11" i="18"/>
  <c r="AX8" i="31"/>
  <c r="AR23" i="51" s="1"/>
  <c r="AY20" i="13"/>
  <c r="AX10" i="34"/>
  <c r="AR49" i="51" s="1"/>
  <c r="AX12" i="37"/>
  <c r="AY47" i="12"/>
  <c r="AX12" i="13"/>
  <c r="AX13" i="13" s="1"/>
  <c r="AX8" i="28"/>
  <c r="AR4" i="51" s="1"/>
  <c r="AX19" i="16"/>
  <c r="AX21" i="16" s="1"/>
  <c r="AX26" i="11"/>
  <c r="AX27" i="11" s="1"/>
  <c r="BD13" i="37"/>
  <c r="BD20" i="18"/>
  <c r="BD22" i="18" s="1"/>
  <c r="BD49" i="12"/>
  <c r="BD61" i="12"/>
  <c r="AX48" i="19"/>
  <c r="AX17" i="34"/>
  <c r="AR56" i="51" s="1"/>
  <c r="AX12" i="17"/>
  <c r="AX27" i="17"/>
  <c r="BD28" i="17" s="1"/>
  <c r="AW17" i="28"/>
  <c r="AQ13" i="51" s="1"/>
  <c r="AV25" i="31"/>
  <c r="AP40" i="51" s="1"/>
  <c r="AV28" i="9"/>
  <c r="AV30" i="9" s="1"/>
  <c r="AW36" i="9"/>
  <c r="V25" i="32"/>
  <c r="AW25" i="34"/>
  <c r="AQ64" i="51" s="1"/>
  <c r="AX15" i="15"/>
  <c r="AX32" i="15"/>
  <c r="AW47" i="16"/>
  <c r="AW33" i="16"/>
  <c r="AW40" i="20"/>
  <c r="AW41" i="20" s="1"/>
  <c r="AW46" i="20" s="1"/>
  <c r="AW47" i="20" s="1"/>
  <c r="AW35" i="20"/>
  <c r="AW36" i="20" s="1"/>
  <c r="AX33" i="20" s="1"/>
  <c r="AZ8" i="34"/>
  <c r="AT47" i="51" s="1"/>
  <c r="AZ44" i="15"/>
  <c r="AN20" i="31"/>
  <c r="AH35" i="51" s="1"/>
  <c r="AO75" i="20"/>
  <c r="AW34" i="16"/>
  <c r="AW13" i="16" s="1"/>
  <c r="AW15" i="16" s="1"/>
  <c r="AW23" i="34"/>
  <c r="AQ62" i="51" s="1"/>
  <c r="AX10" i="31"/>
  <c r="AR25" i="51" s="1"/>
  <c r="AY41" i="15"/>
  <c r="AM29" i="34"/>
  <c r="AG68" i="51" s="1"/>
  <c r="S26" i="35"/>
  <c r="AX29" i="15"/>
  <c r="AX10" i="12"/>
  <c r="AX11" i="12" s="1"/>
  <c r="AN11" i="34"/>
  <c r="AH50" i="51" s="1"/>
  <c r="AY27" i="10"/>
  <c r="AY29" i="10" s="1"/>
  <c r="AW19" i="28" l="1"/>
  <c r="AQ15" i="51" s="1"/>
  <c r="AN12" i="34"/>
  <c r="AH51" i="51" s="1"/>
  <c r="AX11" i="28"/>
  <c r="AR7" i="51" s="1"/>
  <c r="AN21" i="31"/>
  <c r="AH36" i="51" s="1"/>
  <c r="AL22" i="9"/>
  <c r="AL24" i="9" s="1"/>
  <c r="AW48" i="20"/>
  <c r="AW76" i="20"/>
  <c r="AW81" i="20"/>
  <c r="AM12" i="9"/>
  <c r="AM13" i="9" s="1"/>
  <c r="S29" i="35"/>
  <c r="AW17" i="31"/>
  <c r="AQ32" i="51" s="1"/>
  <c r="AX11" i="16"/>
  <c r="AX26" i="20"/>
  <c r="AX14" i="31"/>
  <c r="AR29" i="51" s="1"/>
  <c r="AY24" i="11"/>
  <c r="AY11" i="13"/>
  <c r="AW82" i="20"/>
  <c r="AX19" i="34"/>
  <c r="AR58" i="51" s="1"/>
  <c r="AX12" i="16"/>
  <c r="AX26" i="16"/>
  <c r="AZ27" i="16" s="1"/>
  <c r="AX27" i="18"/>
  <c r="AX28" i="18" s="1"/>
  <c r="AX40" i="18"/>
  <c r="AX41" i="18" s="1"/>
  <c r="AX9" i="19"/>
  <c r="AX11" i="19" s="1"/>
  <c r="AX22" i="19" s="1"/>
  <c r="AX23" i="19" s="1"/>
  <c r="AX30" i="15"/>
  <c r="AX36" i="15" s="1"/>
  <c r="AW24" i="34"/>
  <c r="AQ63" i="51" s="1"/>
  <c r="BD14" i="17"/>
  <c r="BD29" i="17"/>
  <c r="AX30" i="13"/>
  <c r="AX33" i="13" s="1"/>
  <c r="AX14" i="13"/>
  <c r="AY53" i="12"/>
  <c r="AY54" i="12" s="1"/>
  <c r="AY23" i="10"/>
  <c r="AY24" i="10" s="1"/>
  <c r="AY11" i="11"/>
  <c r="AY12" i="11" s="1"/>
  <c r="AO66" i="20"/>
  <c r="AO68" i="20" s="1"/>
  <c r="AV27" i="31"/>
  <c r="AP42" i="51" s="1"/>
  <c r="AV16" i="22"/>
  <c r="V27" i="32"/>
  <c r="BD21" i="34"/>
  <c r="AX60" i="51" s="1"/>
  <c r="BD12" i="18"/>
  <c r="AY25" i="12"/>
  <c r="AX40" i="17"/>
  <c r="AX41" i="17" s="1"/>
  <c r="AX14" i="34"/>
  <c r="AR53" i="51" s="1"/>
  <c r="AN15" i="34" l="1"/>
  <c r="AH54" i="51" s="1"/>
  <c r="AN23" i="9"/>
  <c r="AX9" i="20"/>
  <c r="AX10" i="20" s="1"/>
  <c r="AL23" i="31"/>
  <c r="AF38" i="51" s="1"/>
  <c r="AL15" i="22"/>
  <c r="AL17" i="22" s="1"/>
  <c r="AL21" i="22" s="1"/>
  <c r="AY16" i="37"/>
  <c r="AY63" i="12"/>
  <c r="AY65" i="12" s="1"/>
  <c r="AY71" i="12"/>
  <c r="AY73" i="12" s="1"/>
  <c r="W16" i="38"/>
  <c r="AZ14" i="16"/>
  <c r="AZ28" i="16"/>
  <c r="AX13" i="28"/>
  <c r="AR9" i="51" s="1"/>
  <c r="AX46" i="18"/>
  <c r="AX47" i="18" s="1"/>
  <c r="AX42" i="18"/>
  <c r="AX33" i="18"/>
  <c r="AX39" i="16"/>
  <c r="AX40" i="16" s="1"/>
  <c r="AX42" i="17"/>
  <c r="AX46" i="17"/>
  <c r="AX47" i="17" s="1"/>
  <c r="AX33" i="17"/>
  <c r="AY29" i="13"/>
  <c r="AX34" i="13"/>
  <c r="AX9" i="31" s="1"/>
  <c r="AR24" i="51" s="1"/>
  <c r="AX29" i="18"/>
  <c r="AX14" i="18"/>
  <c r="BD18" i="34"/>
  <c r="AX57" i="51" s="1"/>
  <c r="AX49" i="19"/>
  <c r="AX51" i="19" s="1"/>
  <c r="AX36" i="19" s="1"/>
  <c r="AY37" i="19" s="1"/>
  <c r="AX30" i="19"/>
  <c r="AX32" i="19" s="1"/>
  <c r="AX14" i="20"/>
  <c r="AX15" i="20" s="1"/>
  <c r="AX20" i="20"/>
  <c r="AX21" i="20" s="1"/>
  <c r="AX34" i="20" s="1"/>
  <c r="AM11" i="31"/>
  <c r="AG26" i="51" s="1"/>
  <c r="AN11" i="9"/>
  <c r="AM9" i="8"/>
  <c r="N11" i="33"/>
  <c r="S11" i="32"/>
  <c r="AO77" i="20"/>
  <c r="AO78" i="20" s="1"/>
  <c r="AO69" i="20"/>
  <c r="AX15" i="31"/>
  <c r="AR30" i="51" s="1"/>
  <c r="AY28" i="15"/>
  <c r="AY16" i="19"/>
  <c r="AY17" i="19" s="1"/>
  <c r="AY42" i="15"/>
  <c r="AY20" i="15"/>
  <c r="AY25" i="11"/>
  <c r="AN26" i="34"/>
  <c r="AH65" i="51" s="1"/>
  <c r="AY10" i="37"/>
  <c r="AY24" i="12"/>
  <c r="AY26" i="12" s="1"/>
  <c r="AY31" i="12" s="1"/>
  <c r="AY33" i="12" s="1"/>
  <c r="AZ20" i="10"/>
  <c r="W10" i="38"/>
  <c r="P10" i="39"/>
  <c r="AW21" i="28"/>
  <c r="AQ17" i="51" s="1"/>
  <c r="AM12" i="31" l="1"/>
  <c r="AG27" i="51" s="1"/>
  <c r="AX14" i="28"/>
  <c r="AR10" i="51" s="1"/>
  <c r="AW22" i="28"/>
  <c r="AQ18" i="51" s="1"/>
  <c r="AZ28" i="10"/>
  <c r="AX48" i="17"/>
  <c r="AX34" i="17"/>
  <c r="AX35" i="17" s="1"/>
  <c r="AX13" i="17" s="1"/>
  <c r="AX15" i="17" s="1"/>
  <c r="AY11" i="37"/>
  <c r="AY20" i="17"/>
  <c r="AY22" i="17" s="1"/>
  <c r="AY13" i="15"/>
  <c r="AY14" i="15" s="1"/>
  <c r="AY48" i="12"/>
  <c r="AY50" i="12" s="1"/>
  <c r="AY21" i="13"/>
  <c r="AY24" i="13" s="1"/>
  <c r="AY39" i="12"/>
  <c r="BE41" i="12" s="1"/>
  <c r="AY17" i="9"/>
  <c r="AY18" i="9" s="1"/>
  <c r="W11" i="38"/>
  <c r="AY21" i="19"/>
  <c r="AY43" i="15"/>
  <c r="AY45" i="15" s="1"/>
  <c r="AY21" i="15"/>
  <c r="AX16" i="28"/>
  <c r="AR12" i="51" s="1"/>
  <c r="AM22" i="9"/>
  <c r="AM24" i="9" s="1"/>
  <c r="N12" i="33"/>
  <c r="S12" i="32"/>
  <c r="AZ20" i="34"/>
  <c r="AT59" i="51" s="1"/>
  <c r="AX32" i="16"/>
  <c r="AX45" i="16"/>
  <c r="AX46" i="16" s="1"/>
  <c r="AX41" i="16"/>
  <c r="AX25" i="20"/>
  <c r="AX27" i="20" s="1"/>
  <c r="AX39" i="20"/>
  <c r="AX22" i="34"/>
  <c r="AR61" i="51" s="1"/>
  <c r="AW37" i="9"/>
  <c r="AW38" i="9" s="1"/>
  <c r="AN29" i="34"/>
  <c r="AH68" i="51" s="1"/>
  <c r="AO20" i="31"/>
  <c r="AI35" i="51" s="1"/>
  <c r="AP75" i="20"/>
  <c r="AY17" i="37"/>
  <c r="AZ70" i="12"/>
  <c r="AY17" i="11"/>
  <c r="AY18" i="11" s="1"/>
  <c r="W17" i="38"/>
  <c r="P17" i="39"/>
  <c r="AX19" i="31"/>
  <c r="AR34" i="51" s="1"/>
  <c r="AY29" i="19"/>
  <c r="AX18" i="28"/>
  <c r="AR14" i="51" s="1"/>
  <c r="AY15" i="37"/>
  <c r="AZ60" i="12"/>
  <c r="W15" i="38"/>
  <c r="P15" i="39"/>
  <c r="AO11" i="34"/>
  <c r="AI50" i="51" s="1"/>
  <c r="BA22" i="15"/>
  <c r="AY38" i="19"/>
  <c r="AY31" i="19"/>
  <c r="AX48" i="18"/>
  <c r="AX34" i="18"/>
  <c r="AX35" i="18" s="1"/>
  <c r="AX13" i="18" s="1"/>
  <c r="AX15" i="18" s="1"/>
  <c r="AO12" i="34" l="1"/>
  <c r="AI51" i="51" s="1"/>
  <c r="AO21" i="31"/>
  <c r="AI36" i="51" s="1"/>
  <c r="AX18" i="31"/>
  <c r="AR33" i="51" s="1"/>
  <c r="AY11" i="18"/>
  <c r="AO15" i="34"/>
  <c r="AI54" i="51" s="1"/>
  <c r="AY48" i="19"/>
  <c r="AX47" i="16"/>
  <c r="AX33" i="16"/>
  <c r="AX34" i="16" s="1"/>
  <c r="AX13" i="16" s="1"/>
  <c r="AX15" i="16" s="1"/>
  <c r="AM23" i="31"/>
  <c r="AG38" i="51" s="1"/>
  <c r="AM15" i="22"/>
  <c r="AM17" i="22" s="1"/>
  <c r="AM21" i="22" s="1"/>
  <c r="N23" i="33"/>
  <c r="S23" i="32"/>
  <c r="AY17" i="34"/>
  <c r="AS56" i="51" s="1"/>
  <c r="AY12" i="17"/>
  <c r="AY27" i="17"/>
  <c r="BE28" i="17" s="1"/>
  <c r="W17" i="35"/>
  <c r="AX25" i="34"/>
  <c r="AR64" i="51" s="1"/>
  <c r="AX16" i="31"/>
  <c r="AR31" i="51" s="1"/>
  <c r="AY11" i="17"/>
  <c r="AY10" i="31"/>
  <c r="AS25" i="51" s="1"/>
  <c r="AZ41" i="15"/>
  <c r="W10" i="32"/>
  <c r="P10" i="33"/>
  <c r="AP66" i="20"/>
  <c r="AP68" i="20" s="1"/>
  <c r="AW25" i="31"/>
  <c r="AQ40" i="51" s="1"/>
  <c r="AX36" i="9"/>
  <c r="AW28" i="9"/>
  <c r="AW30" i="9" s="1"/>
  <c r="AY29" i="15"/>
  <c r="AY10" i="12"/>
  <c r="AY11" i="12" s="1"/>
  <c r="AX23" i="34"/>
  <c r="AR62" i="51" s="1"/>
  <c r="BE13" i="37"/>
  <c r="BE20" i="18"/>
  <c r="BE22" i="18" s="1"/>
  <c r="BE49" i="12"/>
  <c r="BE61" i="12"/>
  <c r="Y13" i="38"/>
  <c r="AY8" i="28"/>
  <c r="AS4" i="51" s="1"/>
  <c r="AY19" i="16"/>
  <c r="AY21" i="16" s="1"/>
  <c r="AY26" i="11"/>
  <c r="AY27" i="11" s="1"/>
  <c r="W8" i="29"/>
  <c r="AY8" i="31"/>
  <c r="AS23" i="51" s="1"/>
  <c r="AZ20" i="13"/>
  <c r="P8" i="33"/>
  <c r="W8" i="32"/>
  <c r="AN12" i="9"/>
  <c r="AN13" i="9" s="1"/>
  <c r="AX35" i="20"/>
  <c r="AX36" i="20" s="1"/>
  <c r="AY33" i="20" s="1"/>
  <c r="AX40" i="20"/>
  <c r="AX41" i="20" s="1"/>
  <c r="AX46" i="20" s="1"/>
  <c r="AX47" i="20" s="1"/>
  <c r="AY12" i="37"/>
  <c r="AZ47" i="12"/>
  <c r="AY12" i="13"/>
  <c r="AY13" i="13" s="1"/>
  <c r="P12" i="39"/>
  <c r="W12" i="38"/>
  <c r="AZ27" i="10"/>
  <c r="AZ29" i="10" s="1"/>
  <c r="AY10" i="34"/>
  <c r="AS49" i="51" s="1"/>
  <c r="W10" i="35"/>
  <c r="BA8" i="34"/>
  <c r="AU47" i="51" s="1"/>
  <c r="BA44" i="15"/>
  <c r="AX17" i="28"/>
  <c r="AR13" i="51" s="1"/>
  <c r="AY15" i="15"/>
  <c r="AY32" i="15"/>
  <c r="AY11" i="28" l="1"/>
  <c r="AS7" i="51" s="1"/>
  <c r="AX19" i="28"/>
  <c r="AR15" i="51" s="1"/>
  <c r="AO23" i="9"/>
  <c r="AX76" i="20"/>
  <c r="AX81" i="20"/>
  <c r="AX48" i="20"/>
  <c r="AY14" i="34"/>
  <c r="AS53" i="51" s="1"/>
  <c r="W14" i="35"/>
  <c r="AZ11" i="13"/>
  <c r="AW27" i="31"/>
  <c r="AQ42" i="51" s="1"/>
  <c r="AW16" i="22"/>
  <c r="BE29" i="17"/>
  <c r="BE14" i="17"/>
  <c r="AX24" i="34"/>
  <c r="AR63" i="51" s="1"/>
  <c r="AY26" i="20"/>
  <c r="AY40" i="17"/>
  <c r="AY41" i="17" s="1"/>
  <c r="AZ53" i="12"/>
  <c r="AZ54" i="12" s="1"/>
  <c r="AZ23" i="10"/>
  <c r="AZ24" i="10" s="1"/>
  <c r="AZ11" i="11"/>
  <c r="AZ12" i="11" s="1"/>
  <c r="BE21" i="34"/>
  <c r="AY60" i="51" s="1"/>
  <c r="BE12" i="18"/>
  <c r="Y21" i="35"/>
  <c r="AN11" i="31"/>
  <c r="AH26" i="51" s="1"/>
  <c r="AO11" i="9"/>
  <c r="AN9" i="8"/>
  <c r="AY14" i="31"/>
  <c r="AS29" i="51" s="1"/>
  <c r="AZ24" i="11"/>
  <c r="W14" i="32"/>
  <c r="P14" i="33"/>
  <c r="AP69" i="20"/>
  <c r="AP77" i="20"/>
  <c r="AP78" i="20" s="1"/>
  <c r="AY19" i="34"/>
  <c r="AS58" i="51" s="1"/>
  <c r="AY26" i="16"/>
  <c r="BA27" i="16" s="1"/>
  <c r="AY12" i="16"/>
  <c r="W19" i="35"/>
  <c r="AO26" i="34"/>
  <c r="AI65" i="51" s="1"/>
  <c r="AY30" i="13"/>
  <c r="AY33" i="13" s="1"/>
  <c r="AY14" i="13"/>
  <c r="AZ25" i="12"/>
  <c r="AY9" i="20"/>
  <c r="AY10" i="20" s="1"/>
  <c r="W11" i="29"/>
  <c r="AY9" i="19"/>
  <c r="AY11" i="19" s="1"/>
  <c r="AY22" i="19" s="1"/>
  <c r="AY23" i="19" s="1"/>
  <c r="AY30" i="15"/>
  <c r="AY36" i="15" s="1"/>
  <c r="AX17" i="31"/>
  <c r="AR32" i="51" s="1"/>
  <c r="AY11" i="16"/>
  <c r="AY27" i="18"/>
  <c r="AY28" i="18" s="1"/>
  <c r="AY40" i="18"/>
  <c r="AY41" i="18" s="1"/>
  <c r="AX82" i="20" l="1"/>
  <c r="AN12" i="31"/>
  <c r="AH27" i="51" s="1"/>
  <c r="AY49" i="19"/>
  <c r="AY51" i="19" s="1"/>
  <c r="AY36" i="19" s="1"/>
  <c r="AZ37" i="19" s="1"/>
  <c r="AY30" i="19"/>
  <c r="AY32" i="19" s="1"/>
  <c r="AY34" i="13"/>
  <c r="AZ29" i="13"/>
  <c r="AP20" i="31"/>
  <c r="AJ35" i="51" s="1"/>
  <c r="AQ75" i="20"/>
  <c r="T20" i="32"/>
  <c r="AZ16" i="37"/>
  <c r="AZ63" i="12"/>
  <c r="AZ65" i="12" s="1"/>
  <c r="AZ71" i="12"/>
  <c r="AZ73" i="12" s="1"/>
  <c r="AP11" i="34"/>
  <c r="AJ50" i="51" s="1"/>
  <c r="T11" i="35"/>
  <c r="AY15" i="31"/>
  <c r="AS30" i="51" s="1"/>
  <c r="AZ28" i="15"/>
  <c r="W15" i="32"/>
  <c r="P15" i="33"/>
  <c r="AY14" i="20"/>
  <c r="AY15" i="20" s="1"/>
  <c r="AY20" i="20"/>
  <c r="AY21" i="20" s="1"/>
  <c r="AY34" i="20" s="1"/>
  <c r="AY29" i="18"/>
  <c r="AY14" i="18"/>
  <c r="AY39" i="16"/>
  <c r="AY40" i="16" s="1"/>
  <c r="AY46" i="17"/>
  <c r="AY47" i="17" s="1"/>
  <c r="AY42" i="17"/>
  <c r="AY33" i="17"/>
  <c r="BE18" i="34"/>
  <c r="AY57" i="51" s="1"/>
  <c r="Y18" i="35"/>
  <c r="AX21" i="28"/>
  <c r="AR17" i="51" s="1"/>
  <c r="AO29" i="34"/>
  <c r="AI68" i="51" s="1"/>
  <c r="BA28" i="16"/>
  <c r="BA14" i="16"/>
  <c r="AZ16" i="19"/>
  <c r="AZ17" i="19" s="1"/>
  <c r="AZ42" i="15"/>
  <c r="AZ20" i="15"/>
  <c r="AZ25" i="11"/>
  <c r="AY42" i="18"/>
  <c r="AY46" i="18"/>
  <c r="AY47" i="18" s="1"/>
  <c r="AY33" i="18"/>
  <c r="AY13" i="28"/>
  <c r="AS9" i="51" s="1"/>
  <c r="W13" i="29"/>
  <c r="AZ10" i="37"/>
  <c r="AZ24" i="12"/>
  <c r="AZ26" i="12" s="1"/>
  <c r="AZ31" i="12" s="1"/>
  <c r="AZ33" i="12" s="1"/>
  <c r="BA20" i="10"/>
  <c r="AX22" i="28" l="1"/>
  <c r="AR18" i="51" s="1"/>
  <c r="AP12" i="34"/>
  <c r="AJ51" i="51" s="1"/>
  <c r="AP21" i="31"/>
  <c r="AJ36" i="51" s="1"/>
  <c r="AY14" i="28"/>
  <c r="AS10" i="51" s="1"/>
  <c r="AN22" i="9"/>
  <c r="AN24" i="9" s="1"/>
  <c r="AY48" i="18"/>
  <c r="AY34" i="18"/>
  <c r="AY16" i="28"/>
  <c r="AS12" i="51" s="1"/>
  <c r="W16" i="29"/>
  <c r="BA28" i="10"/>
  <c r="AY34" i="17"/>
  <c r="AY35" i="17" s="1"/>
  <c r="AY13" i="17" s="1"/>
  <c r="AY15" i="17" s="1"/>
  <c r="AY48" i="17"/>
  <c r="T12" i="35"/>
  <c r="AQ66" i="20"/>
  <c r="AQ68" i="20" s="1"/>
  <c r="AP23" i="9"/>
  <c r="T21" i="32"/>
  <c r="AO12" i="9"/>
  <c r="AO13" i="9" s="1"/>
  <c r="AY32" i="16"/>
  <c r="AY45" i="16"/>
  <c r="AY46" i="16" s="1"/>
  <c r="AY41" i="16"/>
  <c r="AZ17" i="37"/>
  <c r="BA70" i="12"/>
  <c r="AZ17" i="11"/>
  <c r="AZ18" i="11" s="1"/>
  <c r="AZ21" i="19"/>
  <c r="AZ43" i="15"/>
  <c r="AZ45" i="15" s="1"/>
  <c r="AZ21" i="15"/>
  <c r="BB22" i="15" s="1"/>
  <c r="AZ15" i="37"/>
  <c r="BA60" i="12"/>
  <c r="AY9" i="31"/>
  <c r="AS24" i="51" s="1"/>
  <c r="W9" i="32"/>
  <c r="P9" i="33"/>
  <c r="AY18" i="28"/>
  <c r="AS14" i="51" s="1"/>
  <c r="W18" i="29"/>
  <c r="AZ11" i="37"/>
  <c r="AZ20" i="17"/>
  <c r="AZ22" i="17" s="1"/>
  <c r="AZ21" i="13"/>
  <c r="AZ24" i="13" s="1"/>
  <c r="AZ13" i="15"/>
  <c r="AZ14" i="15" s="1"/>
  <c r="AZ48" i="12"/>
  <c r="AZ50" i="12" s="1"/>
  <c r="AZ39" i="12"/>
  <c r="BF41" i="12" s="1"/>
  <c r="AZ17" i="9"/>
  <c r="AZ18" i="9" s="1"/>
  <c r="AX37" i="9"/>
  <c r="AX38" i="9" s="1"/>
  <c r="W14" i="29"/>
  <c r="AY22" i="34"/>
  <c r="AS61" i="51" s="1"/>
  <c r="W22" i="35"/>
  <c r="AY19" i="31"/>
  <c r="AS34" i="51" s="1"/>
  <c r="AZ29" i="19"/>
  <c r="P19" i="33"/>
  <c r="W19" i="32"/>
  <c r="AY25" i="20"/>
  <c r="AY27" i="20" s="1"/>
  <c r="AY39" i="20"/>
  <c r="AY35" i="18"/>
  <c r="AY13" i="18" s="1"/>
  <c r="AY15" i="18" s="1"/>
  <c r="BA20" i="34"/>
  <c r="AU59" i="51" s="1"/>
  <c r="AZ31" i="19"/>
  <c r="AZ38" i="19"/>
  <c r="AP15" i="34" l="1"/>
  <c r="AJ54" i="51" s="1"/>
  <c r="AN23" i="31"/>
  <c r="AH38" i="51" s="1"/>
  <c r="AN15" i="22"/>
  <c r="AN17" i="22" s="1"/>
  <c r="AN21" i="22" s="1"/>
  <c r="AZ10" i="31"/>
  <c r="AT25" i="51" s="1"/>
  <c r="BA41" i="15"/>
  <c r="BB8" i="34"/>
  <c r="AV47" i="51" s="1"/>
  <c r="BB44" i="15"/>
  <c r="X8" i="35"/>
  <c r="AZ48" i="19"/>
  <c r="AY17" i="28"/>
  <c r="AS13" i="51" s="1"/>
  <c r="W17" i="29"/>
  <c r="AZ29" i="15"/>
  <c r="AZ10" i="12"/>
  <c r="AZ11" i="12" s="1"/>
  <c r="AY47" i="16"/>
  <c r="AY33" i="16"/>
  <c r="AY34" i="16" s="1"/>
  <c r="AY13" i="16" s="1"/>
  <c r="AY15" i="16" s="1"/>
  <c r="AQ69" i="20"/>
  <c r="AQ77" i="20"/>
  <c r="AQ78" i="20" s="1"/>
  <c r="AZ12" i="37"/>
  <c r="AZ12" i="13"/>
  <c r="AZ13" i="13" s="1"/>
  <c r="BA47" i="12"/>
  <c r="AY18" i="31"/>
  <c r="AS33" i="51" s="1"/>
  <c r="AZ11" i="18"/>
  <c r="P18" i="33"/>
  <c r="W18" i="32"/>
  <c r="AZ32" i="15"/>
  <c r="AZ15" i="15"/>
  <c r="AZ8" i="28"/>
  <c r="AT4" i="51" s="1"/>
  <c r="AZ19" i="16"/>
  <c r="AZ21" i="16" s="1"/>
  <c r="AZ26" i="11"/>
  <c r="AZ27" i="11" s="1"/>
  <c r="AP26" i="34"/>
  <c r="AJ65" i="51" s="1"/>
  <c r="T15" i="35"/>
  <c r="BF13" i="37"/>
  <c r="BF20" i="18"/>
  <c r="BF22" i="18" s="1"/>
  <c r="BF49" i="12"/>
  <c r="BF61" i="12"/>
  <c r="AY40" i="20"/>
  <c r="AY41" i="20" s="1"/>
  <c r="AY46" i="20" s="1"/>
  <c r="AY47" i="20" s="1"/>
  <c r="AY35" i="20"/>
  <c r="AY36" i="20" s="1"/>
  <c r="AZ33" i="20" s="1"/>
  <c r="AY16" i="31"/>
  <c r="AS31" i="51" s="1"/>
  <c r="AZ11" i="17"/>
  <c r="W16" i="32"/>
  <c r="P16" i="33"/>
  <c r="AZ8" i="31"/>
  <c r="AT23" i="51" s="1"/>
  <c r="BA20" i="13"/>
  <c r="BA27" i="10"/>
  <c r="BA29" i="10" s="1"/>
  <c r="AO11" i="31"/>
  <c r="AI26" i="51" s="1"/>
  <c r="AP11" i="9"/>
  <c r="AO9" i="8"/>
  <c r="AY23" i="34"/>
  <c r="AS62" i="51" s="1"/>
  <c r="W23" i="35"/>
  <c r="AY25" i="34"/>
  <c r="AS64" i="51" s="1"/>
  <c r="W25" i="35"/>
  <c r="AZ10" i="34"/>
  <c r="AT49" i="51" s="1"/>
  <c r="AX25" i="31"/>
  <c r="AR40" i="51" s="1"/>
  <c r="AX28" i="9"/>
  <c r="AX30" i="9" s="1"/>
  <c r="AY36" i="9"/>
  <c r="AZ17" i="34"/>
  <c r="AT56" i="51" s="1"/>
  <c r="AZ27" i="17"/>
  <c r="BF28" i="17" s="1"/>
  <c r="AZ12" i="17"/>
  <c r="AO12" i="31" l="1"/>
  <c r="AI27" i="51" s="1"/>
  <c r="AZ11" i="28"/>
  <c r="AT7" i="51" s="1"/>
  <c r="AY19" i="28"/>
  <c r="AS15" i="51" s="1"/>
  <c r="AY17" i="31"/>
  <c r="AS32" i="51" s="1"/>
  <c r="AZ11" i="16"/>
  <c r="W17" i="32"/>
  <c r="P17" i="33"/>
  <c r="AY81" i="20"/>
  <c r="AY48" i="20"/>
  <c r="AY76" i="20"/>
  <c r="AZ14" i="31"/>
  <c r="AT29" i="51" s="1"/>
  <c r="BA24" i="11"/>
  <c r="AQ11" i="34"/>
  <c r="AK50" i="51" s="1"/>
  <c r="BF21" i="34"/>
  <c r="AZ60" i="51" s="1"/>
  <c r="BF12" i="18"/>
  <c r="AZ19" i="34"/>
  <c r="AT58" i="51" s="1"/>
  <c r="AZ26" i="16"/>
  <c r="BB27" i="16" s="1"/>
  <c r="AZ12" i="16"/>
  <c r="AZ40" i="18"/>
  <c r="AZ41" i="18" s="1"/>
  <c r="AZ27" i="18"/>
  <c r="AZ28" i="18" s="1"/>
  <c r="AZ26" i="20"/>
  <c r="AZ9" i="20"/>
  <c r="AZ10" i="20" s="1"/>
  <c r="AY24" i="34"/>
  <c r="AS63" i="51" s="1"/>
  <c r="W24" i="35"/>
  <c r="AZ40" i="17"/>
  <c r="AZ41" i="17" s="1"/>
  <c r="BA25" i="12"/>
  <c r="BF14" i="17"/>
  <c r="BF29" i="17"/>
  <c r="AZ14" i="34"/>
  <c r="AT53" i="51" s="1"/>
  <c r="AZ30" i="13"/>
  <c r="AZ33" i="13" s="1"/>
  <c r="AZ14" i="13"/>
  <c r="AZ9" i="19"/>
  <c r="AZ11" i="19" s="1"/>
  <c r="AZ22" i="19" s="1"/>
  <c r="AZ23" i="19" s="1"/>
  <c r="AZ30" i="15"/>
  <c r="AZ36" i="15" s="1"/>
  <c r="BA53" i="12"/>
  <c r="BA54" i="12" s="1"/>
  <c r="BA23" i="10"/>
  <c r="BA24" i="10" s="1"/>
  <c r="BA11" i="11"/>
  <c r="BA12" i="11" s="1"/>
  <c r="BA11" i="13"/>
  <c r="AX27" i="31"/>
  <c r="AR42" i="51" s="1"/>
  <c r="AX16" i="22"/>
  <c r="AP29" i="34"/>
  <c r="AJ68" i="51" s="1"/>
  <c r="T26" i="35"/>
  <c r="AQ20" i="31"/>
  <c r="AK35" i="51" s="1"/>
  <c r="AR75" i="20"/>
  <c r="AY82" i="20"/>
  <c r="W19" i="29"/>
  <c r="AQ21" i="31" l="1"/>
  <c r="AK36" i="51" s="1"/>
  <c r="AQ12" i="34"/>
  <c r="AK51" i="51" s="1"/>
  <c r="AO22" i="9"/>
  <c r="AO24" i="9" s="1"/>
  <c r="AZ15" i="31"/>
  <c r="AT30" i="51" s="1"/>
  <c r="BA28" i="15"/>
  <c r="AZ34" i="13"/>
  <c r="AZ9" i="31" s="1"/>
  <c r="AT24" i="51" s="1"/>
  <c r="BA29" i="13"/>
  <c r="AZ33" i="17"/>
  <c r="AZ46" i="17"/>
  <c r="AZ47" i="17" s="1"/>
  <c r="AZ42" i="17"/>
  <c r="BB14" i="16"/>
  <c r="BB28" i="16"/>
  <c r="AY21" i="28"/>
  <c r="AS17" i="51" s="1"/>
  <c r="W21" i="29"/>
  <c r="AR66" i="20"/>
  <c r="AR68" i="20" s="1"/>
  <c r="AP12" i="9"/>
  <c r="AP13" i="9" s="1"/>
  <c r="T29" i="35"/>
  <c r="BA10" i="37"/>
  <c r="BA24" i="12"/>
  <c r="BA26" i="12" s="1"/>
  <c r="BA31" i="12" s="1"/>
  <c r="BA33" i="12" s="1"/>
  <c r="BB20" i="10"/>
  <c r="BA16" i="19"/>
  <c r="BA17" i="19" s="1"/>
  <c r="BA42" i="15"/>
  <c r="BA20" i="15"/>
  <c r="BA25" i="11"/>
  <c r="BA16" i="37"/>
  <c r="BA71" i="12"/>
  <c r="BA73" i="12" s="1"/>
  <c r="BA63" i="12"/>
  <c r="BA65" i="12" s="1"/>
  <c r="AZ14" i="18"/>
  <c r="AZ29" i="18"/>
  <c r="BF18" i="34"/>
  <c r="AZ57" i="51" s="1"/>
  <c r="AZ46" i="18"/>
  <c r="AZ47" i="18" s="1"/>
  <c r="AZ42" i="18"/>
  <c r="AZ33" i="18"/>
  <c r="AZ49" i="19"/>
  <c r="AZ51" i="19" s="1"/>
  <c r="AZ36" i="19" s="1"/>
  <c r="BA37" i="19" s="1"/>
  <c r="AZ30" i="19"/>
  <c r="AZ32" i="19" s="1"/>
  <c r="AZ20" i="20"/>
  <c r="AZ21" i="20" s="1"/>
  <c r="AZ34" i="20" s="1"/>
  <c r="AZ14" i="20"/>
  <c r="AZ15" i="20" s="1"/>
  <c r="AQ15" i="34"/>
  <c r="AK54" i="51" s="1"/>
  <c r="AZ39" i="16"/>
  <c r="AZ40" i="16" s="1"/>
  <c r="AZ13" i="28"/>
  <c r="AT9" i="51" s="1"/>
  <c r="AY22" i="28" l="1"/>
  <c r="AS18" i="51" s="1"/>
  <c r="AO23" i="31"/>
  <c r="AI38" i="51" s="1"/>
  <c r="AO15" i="22"/>
  <c r="AO17" i="22" s="1"/>
  <c r="AO21" i="22" s="1"/>
  <c r="AZ14" i="28"/>
  <c r="AT10" i="51" s="1"/>
  <c r="AQ23" i="9"/>
  <c r="BA38" i="19"/>
  <c r="BA31" i="19"/>
  <c r="AZ22" i="34"/>
  <c r="AT61" i="51" s="1"/>
  <c r="AP11" i="31"/>
  <c r="AJ26" i="51" s="1"/>
  <c r="AP9" i="8"/>
  <c r="AQ11" i="9"/>
  <c r="T11" i="32"/>
  <c r="AZ48" i="17"/>
  <c r="AZ34" i="17"/>
  <c r="AZ35" i="17" s="1"/>
  <c r="AZ13" i="17" s="1"/>
  <c r="AZ15" i="17" s="1"/>
  <c r="AZ32" i="16"/>
  <c r="AZ45" i="16"/>
  <c r="AZ46" i="16" s="1"/>
  <c r="AZ41" i="16"/>
  <c r="BA21" i="19"/>
  <c r="BA21" i="15"/>
  <c r="BC22" i="15" s="1"/>
  <c r="BA43" i="15"/>
  <c r="BA45" i="15" s="1"/>
  <c r="AR77" i="20"/>
  <c r="AR78" i="20" s="1"/>
  <c r="AR69" i="20"/>
  <c r="AZ18" i="28"/>
  <c r="AT14" i="51" s="1"/>
  <c r="AZ34" i="18"/>
  <c r="AZ35" i="18" s="1"/>
  <c r="AZ13" i="18" s="1"/>
  <c r="AZ15" i="18" s="1"/>
  <c r="AZ48" i="18"/>
  <c r="BB28" i="10"/>
  <c r="BA15" i="37"/>
  <c r="BB60" i="12"/>
  <c r="BA11" i="37"/>
  <c r="BA20" i="17"/>
  <c r="BA22" i="17" s="1"/>
  <c r="BA13" i="15"/>
  <c r="BA14" i="15" s="1"/>
  <c r="BA21" i="13"/>
  <c r="BA24" i="13" s="1"/>
  <c r="BA48" i="12"/>
  <c r="BA50" i="12" s="1"/>
  <c r="BA39" i="12"/>
  <c r="BG41" i="12" s="1"/>
  <c r="BA17" i="9"/>
  <c r="BA18" i="9" s="1"/>
  <c r="AY37" i="9"/>
  <c r="AY38" i="9" s="1"/>
  <c r="W22" i="29"/>
  <c r="AQ26" i="34"/>
  <c r="AK65" i="51" s="1"/>
  <c r="AZ39" i="20"/>
  <c r="AZ25" i="20"/>
  <c r="AZ27" i="20" s="1"/>
  <c r="BA17" i="37"/>
  <c r="BB70" i="12"/>
  <c r="BA17" i="11"/>
  <c r="BA18" i="11" s="1"/>
  <c r="BB20" i="34"/>
  <c r="AV59" i="51" s="1"/>
  <c r="X20" i="35"/>
  <c r="AZ19" i="31"/>
  <c r="AT34" i="51" s="1"/>
  <c r="BA29" i="19"/>
  <c r="AZ16" i="28"/>
  <c r="AT12" i="51" s="1"/>
  <c r="AP12" i="31" l="1"/>
  <c r="AJ27" i="51" s="1"/>
  <c r="BC8" i="34"/>
  <c r="AW47" i="51" s="1"/>
  <c r="BC44" i="15"/>
  <c r="BA10" i="31"/>
  <c r="AU25" i="51" s="1"/>
  <c r="BB41" i="15"/>
  <c r="AZ16" i="31"/>
  <c r="AT31" i="51" s="1"/>
  <c r="BA11" i="17"/>
  <c r="BA29" i="15"/>
  <c r="BA10" i="12"/>
  <c r="BA11" i="12" s="1"/>
  <c r="AZ18" i="31"/>
  <c r="AT33" i="51" s="1"/>
  <c r="BA11" i="18"/>
  <c r="BG13" i="37"/>
  <c r="BG20" i="18"/>
  <c r="BG22" i="18" s="1"/>
  <c r="BG61" i="12"/>
  <c r="BG49" i="12"/>
  <c r="AR11" i="34"/>
  <c r="AL50" i="51" s="1"/>
  <c r="AZ17" i="28"/>
  <c r="AT13" i="51" s="1"/>
  <c r="AP22" i="9"/>
  <c r="AP24" i="9" s="1"/>
  <c r="T12" i="32"/>
  <c r="AR20" i="31"/>
  <c r="AL35" i="51" s="1"/>
  <c r="AS75" i="20"/>
  <c r="AZ33" i="16"/>
  <c r="AZ34" i="16" s="1"/>
  <c r="AZ13" i="16" s="1"/>
  <c r="AZ15" i="16" s="1"/>
  <c r="AZ47" i="16"/>
  <c r="BA12" i="37"/>
  <c r="BA12" i="13"/>
  <c r="BA13" i="13" s="1"/>
  <c r="BB47" i="12"/>
  <c r="BA8" i="28"/>
  <c r="AU4" i="51" s="1"/>
  <c r="BA19" i="16"/>
  <c r="BA21" i="16" s="1"/>
  <c r="BA26" i="11"/>
  <c r="BA27" i="11" s="1"/>
  <c r="BA8" i="31"/>
  <c r="AU23" i="51" s="1"/>
  <c r="BB20" i="13"/>
  <c r="BA32" i="15"/>
  <c r="BA15" i="15"/>
  <c r="AQ29" i="34"/>
  <c r="AK68" i="51" s="1"/>
  <c r="AZ25" i="34"/>
  <c r="AT64" i="51" s="1"/>
  <c r="AY25" i="31"/>
  <c r="AS40" i="51" s="1"/>
  <c r="AY28" i="9"/>
  <c r="AY30" i="9" s="1"/>
  <c r="AZ36" i="9"/>
  <c r="W25" i="32"/>
  <c r="P25" i="33"/>
  <c r="BA17" i="34"/>
  <c r="AU56" i="51" s="1"/>
  <c r="BA27" i="17"/>
  <c r="BG28" i="17" s="1"/>
  <c r="BA12" i="17"/>
  <c r="AZ23" i="34"/>
  <c r="AT62" i="51" s="1"/>
  <c r="BA48" i="19"/>
  <c r="AZ40" i="20"/>
  <c r="AZ35" i="20"/>
  <c r="AZ36" i="20" s="1"/>
  <c r="BA33" i="20" s="1"/>
  <c r="AZ41" i="20"/>
  <c r="AZ46" i="20" s="1"/>
  <c r="AZ47" i="20" s="1"/>
  <c r="BB27" i="10"/>
  <c r="BB29" i="10" s="1"/>
  <c r="BA10" i="34"/>
  <c r="AU49" i="51" s="1"/>
  <c r="AR21" i="31" l="1"/>
  <c r="AL36" i="51" s="1"/>
  <c r="BA11" i="28"/>
  <c r="AU7" i="51" s="1"/>
  <c r="AZ19" i="28"/>
  <c r="AT15" i="51" s="1"/>
  <c r="AR12" i="34"/>
  <c r="AL51" i="51" s="1"/>
  <c r="AZ17" i="31"/>
  <c r="AT32" i="51" s="1"/>
  <c r="BA11" i="16"/>
  <c r="BB11" i="11"/>
  <c r="BB12" i="11" s="1"/>
  <c r="BB53" i="12"/>
  <c r="BB54" i="12" s="1"/>
  <c r="BB23" i="10"/>
  <c r="BB24" i="10" s="1"/>
  <c r="AZ24" i="34"/>
  <c r="AT63" i="51" s="1"/>
  <c r="BG21" i="34"/>
  <c r="BA60" i="51" s="1"/>
  <c r="BG12" i="18"/>
  <c r="AZ81" i="20"/>
  <c r="AZ76" i="20"/>
  <c r="AZ48" i="20"/>
  <c r="AY27" i="31"/>
  <c r="AS42" i="51" s="1"/>
  <c r="AY16" i="22"/>
  <c r="P27" i="33"/>
  <c r="W27" i="32"/>
  <c r="AQ12" i="9"/>
  <c r="AQ13" i="9" s="1"/>
  <c r="BA14" i="31"/>
  <c r="AU29" i="51" s="1"/>
  <c r="BB24" i="11"/>
  <c r="AS66" i="20"/>
  <c r="AS68" i="20" s="1"/>
  <c r="AR15" i="34"/>
  <c r="AL54" i="51" s="1"/>
  <c r="BA27" i="18"/>
  <c r="BA28" i="18" s="1"/>
  <c r="BA40" i="18"/>
  <c r="BA41" i="18" s="1"/>
  <c r="BA26" i="20"/>
  <c r="BA14" i="34"/>
  <c r="AU53" i="51" s="1"/>
  <c r="BA19" i="34"/>
  <c r="AU58" i="51" s="1"/>
  <c r="BA12" i="16"/>
  <c r="BA26" i="16"/>
  <c r="BC27" i="16" s="1"/>
  <c r="BA9" i="20"/>
  <c r="BA10" i="20" s="1"/>
  <c r="BA9" i="19"/>
  <c r="BA11" i="19" s="1"/>
  <c r="BA22" i="19" s="1"/>
  <c r="BA23" i="19" s="1"/>
  <c r="BA30" i="15"/>
  <c r="BA36" i="15" s="1"/>
  <c r="BG14" i="17"/>
  <c r="BG29" i="17"/>
  <c r="BB25" i="12"/>
  <c r="AP23" i="31"/>
  <c r="AJ38" i="51" s="1"/>
  <c r="AP15" i="22"/>
  <c r="AP17" i="22" s="1"/>
  <c r="AP21" i="22" s="1"/>
  <c r="T23" i="32"/>
  <c r="BB11" i="13"/>
  <c r="BA30" i="13"/>
  <c r="BA33" i="13" s="1"/>
  <c r="BA14" i="13"/>
  <c r="BA40" i="17"/>
  <c r="BA41" i="17" s="1"/>
  <c r="AZ82" i="20" l="1"/>
  <c r="AR23" i="9"/>
  <c r="BA13" i="28"/>
  <c r="AU9" i="51" s="1"/>
  <c r="BC28" i="16"/>
  <c r="BC14" i="16"/>
  <c r="BA46" i="17"/>
  <c r="BA47" i="17" s="1"/>
  <c r="BA42" i="17"/>
  <c r="BA33" i="17"/>
  <c r="BA30" i="19"/>
  <c r="BA32" i="19" s="1"/>
  <c r="BA49" i="19"/>
  <c r="BA51" i="19" s="1"/>
  <c r="BA36" i="19" s="1"/>
  <c r="BB37" i="19" s="1"/>
  <c r="AZ21" i="28"/>
  <c r="AT17" i="51" s="1"/>
  <c r="BA46" i="18"/>
  <c r="BA47" i="18" s="1"/>
  <c r="BA42" i="18"/>
  <c r="BA33" i="18"/>
  <c r="BA34" i="13"/>
  <c r="BA9" i="31" s="1"/>
  <c r="AU24" i="51" s="1"/>
  <c r="BB29" i="13"/>
  <c r="BA14" i="18"/>
  <c r="BA29" i="18"/>
  <c r="BG18" i="34"/>
  <c r="BA57" i="51" s="1"/>
  <c r="BA20" i="20"/>
  <c r="BA21" i="20" s="1"/>
  <c r="BA34" i="20" s="1"/>
  <c r="BA14" i="20"/>
  <c r="BA15" i="20" s="1"/>
  <c r="AQ11" i="31"/>
  <c r="AK26" i="51" s="1"/>
  <c r="AQ9" i="8"/>
  <c r="AR11" i="9"/>
  <c r="AR26" i="34"/>
  <c r="AL65" i="51" s="1"/>
  <c r="BB10" i="37"/>
  <c r="BB24" i="12"/>
  <c r="BB26" i="12" s="1"/>
  <c r="BB31" i="12" s="1"/>
  <c r="BB33" i="12" s="1"/>
  <c r="BC20" i="10"/>
  <c r="X10" i="38"/>
  <c r="BA15" i="31"/>
  <c r="AU30" i="51" s="1"/>
  <c r="BB28" i="15"/>
  <c r="BB16" i="37"/>
  <c r="BB71" i="12"/>
  <c r="BB73" i="12" s="1"/>
  <c r="BB63" i="12"/>
  <c r="BB65" i="12" s="1"/>
  <c r="X16" i="38"/>
  <c r="BA39" i="16"/>
  <c r="BA40" i="16" s="1"/>
  <c r="AS77" i="20"/>
  <c r="AS78" i="20" s="1"/>
  <c r="AS69" i="20"/>
  <c r="BB16" i="19"/>
  <c r="BB17" i="19" s="1"/>
  <c r="BB20" i="15"/>
  <c r="BB42" i="15"/>
  <c r="BB25" i="11"/>
  <c r="AQ12" i="31" l="1"/>
  <c r="AK27" i="51" s="1"/>
  <c r="AZ22" i="28"/>
  <c r="AT18" i="51" s="1"/>
  <c r="BA14" i="28"/>
  <c r="AU10" i="51" s="1"/>
  <c r="AR29" i="34"/>
  <c r="AL68" i="51" s="1"/>
  <c r="BA34" i="18"/>
  <c r="BA48" i="18"/>
  <c r="BA16" i="28"/>
  <c r="AU12" i="51" s="1"/>
  <c r="BA48" i="17"/>
  <c r="BA34" i="17"/>
  <c r="BA35" i="17" s="1"/>
  <c r="BA13" i="17" s="1"/>
  <c r="BA15" i="17" s="1"/>
  <c r="BA22" i="34"/>
  <c r="AU61" i="51" s="1"/>
  <c r="BC28" i="10"/>
  <c r="BA25" i="20"/>
  <c r="BA27" i="20" s="1"/>
  <c r="BA39" i="20"/>
  <c r="BC20" i="34"/>
  <c r="AW59" i="51" s="1"/>
  <c r="BB11" i="37"/>
  <c r="BB13" i="15"/>
  <c r="BB14" i="15" s="1"/>
  <c r="BB20" i="17"/>
  <c r="BB22" i="17" s="1"/>
  <c r="BB21" i="13"/>
  <c r="BB24" i="13" s="1"/>
  <c r="BB39" i="12"/>
  <c r="BH41" i="12" s="1"/>
  <c r="BB48" i="12"/>
  <c r="BB50" i="12" s="1"/>
  <c r="BB17" i="9"/>
  <c r="BB18" i="9" s="1"/>
  <c r="X11" i="38"/>
  <c r="BB38" i="19"/>
  <c r="BB31" i="19"/>
  <c r="BA32" i="16"/>
  <c r="BA45" i="16"/>
  <c r="BA46" i="16" s="1"/>
  <c r="BA41" i="16"/>
  <c r="BB15" i="37"/>
  <c r="BC60" i="12"/>
  <c r="X15" i="38"/>
  <c r="BB21" i="19"/>
  <c r="BB43" i="15"/>
  <c r="BB21" i="15"/>
  <c r="BD22" i="15" s="1"/>
  <c r="BB17" i="37"/>
  <c r="BC70" i="12"/>
  <c r="BB17" i="11"/>
  <c r="BB18" i="11" s="1"/>
  <c r="X17" i="38"/>
  <c r="BA35" i="18"/>
  <c r="BA13" i="18" s="1"/>
  <c r="BA15" i="18" s="1"/>
  <c r="BA19" i="31"/>
  <c r="AU34" i="51" s="1"/>
  <c r="BB29" i="19"/>
  <c r="AS20" i="31"/>
  <c r="AM35" i="51" s="1"/>
  <c r="AT75" i="20"/>
  <c r="U20" i="32"/>
  <c r="O20" i="33"/>
  <c r="L20" i="24"/>
  <c r="F35" i="50" s="1"/>
  <c r="BB45" i="15"/>
  <c r="AS11" i="34"/>
  <c r="AM50" i="51" s="1"/>
  <c r="U11" i="35"/>
  <c r="BA18" i="28"/>
  <c r="AU14" i="51" s="1"/>
  <c r="AZ37" i="9" l="1"/>
  <c r="AZ38" i="9" s="1"/>
  <c r="AS21" i="31"/>
  <c r="AM36" i="51" s="1"/>
  <c r="AS12" i="34"/>
  <c r="AM51" i="51" s="1"/>
  <c r="AQ22" i="9"/>
  <c r="AQ24" i="9" s="1"/>
  <c r="BD8" i="34"/>
  <c r="AX47" i="51" s="1"/>
  <c r="BD44" i="15"/>
  <c r="BA16" i="31"/>
  <c r="AU31" i="51" s="1"/>
  <c r="BB11" i="17"/>
  <c r="BA17" i="28"/>
  <c r="AU13" i="51" s="1"/>
  <c r="BB10" i="34"/>
  <c r="AV49" i="51" s="1"/>
  <c r="X10" i="35"/>
  <c r="BB17" i="34"/>
  <c r="AV56" i="51" s="1"/>
  <c r="BB27" i="17"/>
  <c r="BH28" i="17" s="1"/>
  <c r="BB12" i="17"/>
  <c r="X17" i="35"/>
  <c r="BA40" i="20"/>
  <c r="BA41" i="20" s="1"/>
  <c r="BA46" i="20" s="1"/>
  <c r="BA47" i="20" s="1"/>
  <c r="BA35" i="20"/>
  <c r="BA36" i="20" s="1"/>
  <c r="BB33" i="20" s="1"/>
  <c r="BB8" i="28"/>
  <c r="AV4" i="51" s="1"/>
  <c r="BB19" i="16"/>
  <c r="BB21" i="16" s="1"/>
  <c r="BB26" i="11"/>
  <c r="BB27" i="11" s="1"/>
  <c r="X8" i="29"/>
  <c r="BC27" i="10"/>
  <c r="BC29" i="10" s="1"/>
  <c r="BB15" i="15"/>
  <c r="BB32" i="15"/>
  <c r="BA25" i="34"/>
  <c r="AU64" i="51" s="1"/>
  <c r="AT66" i="20"/>
  <c r="AT68" i="20" s="1"/>
  <c r="BB48" i="19"/>
  <c r="BA33" i="16"/>
  <c r="BA34" i="16" s="1"/>
  <c r="BA13" i="16" s="1"/>
  <c r="BA15" i="16" s="1"/>
  <c r="BA47" i="16"/>
  <c r="BB12" i="37"/>
  <c r="BB12" i="13"/>
  <c r="BB13" i="13" s="1"/>
  <c r="BC47" i="12"/>
  <c r="X12" i="38"/>
  <c r="BA23" i="34"/>
  <c r="AU62" i="51" s="1"/>
  <c r="AR12" i="9"/>
  <c r="AR13" i="9" s="1"/>
  <c r="AS15" i="34"/>
  <c r="AM54" i="51" s="1"/>
  <c r="U12" i="35"/>
  <c r="BH13" i="37"/>
  <c r="BH20" i="18"/>
  <c r="BH22" i="18" s="1"/>
  <c r="BH61" i="12"/>
  <c r="BH49" i="12"/>
  <c r="Z13" i="38"/>
  <c r="AZ25" i="31"/>
  <c r="AT40" i="51" s="1"/>
  <c r="AZ28" i="9"/>
  <c r="AZ30" i="9" s="1"/>
  <c r="BA36" i="9"/>
  <c r="AS23" i="9"/>
  <c r="U21" i="32"/>
  <c r="L21" i="24"/>
  <c r="F36" i="50" s="1"/>
  <c r="O21" i="33"/>
  <c r="BB29" i="15"/>
  <c r="BB10" i="12"/>
  <c r="BB11" i="12" s="1"/>
  <c r="BB10" i="31"/>
  <c r="AV25" i="51" s="1"/>
  <c r="BC41" i="15"/>
  <c r="X10" i="32"/>
  <c r="BA18" i="31"/>
  <c r="AU33" i="51" s="1"/>
  <c r="BB11" i="18"/>
  <c r="BB8" i="31"/>
  <c r="AV23" i="51" s="1"/>
  <c r="BC20" i="13"/>
  <c r="X8" i="32"/>
  <c r="AQ23" i="31" l="1"/>
  <c r="AK38" i="51" s="1"/>
  <c r="AQ15" i="22"/>
  <c r="AQ17" i="22" s="1"/>
  <c r="AQ21" i="22" s="1"/>
  <c r="BB11" i="28"/>
  <c r="AV7" i="51" s="1"/>
  <c r="BA19" i="28"/>
  <c r="AU15" i="51" s="1"/>
  <c r="BA17" i="31"/>
  <c r="AU32" i="51" s="1"/>
  <c r="BB11" i="16"/>
  <c r="BC25" i="12"/>
  <c r="AT77" i="20"/>
  <c r="AT78" i="20" s="1"/>
  <c r="AT69" i="20"/>
  <c r="BC53" i="12"/>
  <c r="BC54" i="12" s="1"/>
  <c r="BC11" i="11"/>
  <c r="BC12" i="11" s="1"/>
  <c r="BC23" i="10"/>
  <c r="BC24" i="10" s="1"/>
  <c r="BB30" i="13"/>
  <c r="BB33" i="13" s="1"/>
  <c r="BB14" i="13"/>
  <c r="BC11" i="13"/>
  <c r="AR11" i="31"/>
  <c r="AL26" i="51" s="1"/>
  <c r="AS11" i="9"/>
  <c r="AR9" i="8"/>
  <c r="BA24" i="34"/>
  <c r="AU63" i="51" s="1"/>
  <c r="BB14" i="31"/>
  <c r="AV29" i="51" s="1"/>
  <c r="BC24" i="11"/>
  <c r="X14" i="32"/>
  <c r="BH29" i="17"/>
  <c r="BH14" i="17"/>
  <c r="BB40" i="17"/>
  <c r="BB41" i="17" s="1"/>
  <c r="BH21" i="34"/>
  <c r="BB60" i="51" s="1"/>
  <c r="BH12" i="18"/>
  <c r="Z21" i="35"/>
  <c r="BB19" i="34"/>
  <c r="AV58" i="51" s="1"/>
  <c r="BB26" i="16"/>
  <c r="BD27" i="16" s="1"/>
  <c r="BB12" i="16"/>
  <c r="X19" i="35"/>
  <c r="BB27" i="18"/>
  <c r="BB28" i="18" s="1"/>
  <c r="BB40" i="18"/>
  <c r="BB41" i="18" s="1"/>
  <c r="AS26" i="34"/>
  <c r="AM65" i="51" s="1"/>
  <c r="U15" i="35"/>
  <c r="BA48" i="20"/>
  <c r="BA81" i="20"/>
  <c r="BA76" i="20"/>
  <c r="AZ27" i="31"/>
  <c r="AT42" i="51" s="1"/>
  <c r="AZ16" i="22"/>
  <c r="BB9" i="20"/>
  <c r="BB10" i="20" s="1"/>
  <c r="X11" i="29"/>
  <c r="BB9" i="19"/>
  <c r="BB11" i="19" s="1"/>
  <c r="BB22" i="19" s="1"/>
  <c r="BB23" i="19" s="1"/>
  <c r="BB30" i="15"/>
  <c r="BB36" i="15" s="1"/>
  <c r="BB14" i="34"/>
  <c r="AV53" i="51" s="1"/>
  <c r="X14" i="35"/>
  <c r="BB26" i="20"/>
  <c r="AR12" i="31" l="1"/>
  <c r="AL27" i="51" s="1"/>
  <c r="BA82" i="20"/>
  <c r="BB15" i="31"/>
  <c r="AV30" i="51" s="1"/>
  <c r="BC28" i="15"/>
  <c r="X15" i="32"/>
  <c r="BD28" i="16"/>
  <c r="BD14" i="16"/>
  <c r="BC16" i="37"/>
  <c r="BC71" i="12"/>
  <c r="BC73" i="12" s="1"/>
  <c r="BC63" i="12"/>
  <c r="BC65" i="12" s="1"/>
  <c r="AT11" i="34"/>
  <c r="AN50" i="51" s="1"/>
  <c r="BB29" i="18"/>
  <c r="BB14" i="18"/>
  <c r="BB42" i="17"/>
  <c r="BB46" i="17"/>
  <c r="BB47" i="17" s="1"/>
  <c r="BB33" i="17"/>
  <c r="AT20" i="31"/>
  <c r="AN35" i="51" s="1"/>
  <c r="AU75" i="20"/>
  <c r="BB46" i="18"/>
  <c r="BB47" i="18" s="1"/>
  <c r="BB42" i="18"/>
  <c r="BB33" i="18"/>
  <c r="BH18" i="34"/>
  <c r="BB57" i="51" s="1"/>
  <c r="Z18" i="35"/>
  <c r="BB13" i="28"/>
  <c r="AV9" i="51" s="1"/>
  <c r="X13" i="29"/>
  <c r="BA21" i="28"/>
  <c r="AU17" i="51" s="1"/>
  <c r="BB34" i="13"/>
  <c r="BC29" i="13"/>
  <c r="BB49" i="19"/>
  <c r="BB51" i="19" s="1"/>
  <c r="BB36" i="19" s="1"/>
  <c r="BC37" i="19" s="1"/>
  <c r="BB30" i="19"/>
  <c r="BB32" i="19" s="1"/>
  <c r="BC10" i="37"/>
  <c r="BC24" i="12"/>
  <c r="BC26" i="12" s="1"/>
  <c r="BC31" i="12" s="1"/>
  <c r="BC33" i="12" s="1"/>
  <c r="BD20" i="10"/>
  <c r="BB39" i="16"/>
  <c r="BB40" i="16" s="1"/>
  <c r="BB14" i="20"/>
  <c r="BB15" i="20" s="1"/>
  <c r="BB20" i="20"/>
  <c r="BB21" i="20" s="1"/>
  <c r="BB34" i="20" s="1"/>
  <c r="AS29" i="34"/>
  <c r="AM68" i="51" s="1"/>
  <c r="U26" i="35"/>
  <c r="BC16" i="19"/>
  <c r="BC17" i="19" s="1"/>
  <c r="BC42" i="15"/>
  <c r="BC20" i="15"/>
  <c r="BC25" i="11"/>
  <c r="AT21" i="31" l="1"/>
  <c r="AN36" i="51" s="1"/>
  <c r="AT12" i="34"/>
  <c r="AN51" i="51" s="1"/>
  <c r="BA22" i="28"/>
  <c r="AU18" i="51" s="1"/>
  <c r="BB14" i="28"/>
  <c r="AV10" i="51" s="1"/>
  <c r="AR22" i="9"/>
  <c r="AR24" i="9" s="1"/>
  <c r="BB9" i="31"/>
  <c r="AV24" i="51" s="1"/>
  <c r="X9" i="32"/>
  <c r="BC15" i="37"/>
  <c r="BD60" i="12"/>
  <c r="X14" i="29"/>
  <c r="BB18" i="28"/>
  <c r="AV14" i="51" s="1"/>
  <c r="X18" i="29"/>
  <c r="BB22" i="34"/>
  <c r="AV61" i="51" s="1"/>
  <c r="X22" i="35"/>
  <c r="BC17" i="37"/>
  <c r="BD70" i="12"/>
  <c r="BC17" i="11"/>
  <c r="BC18" i="11" s="1"/>
  <c r="BC21" i="19"/>
  <c r="BC43" i="15"/>
  <c r="BC45" i="15" s="1"/>
  <c r="BC21" i="15"/>
  <c r="BE22" i="15" s="1"/>
  <c r="BD28" i="10"/>
  <c r="BB48" i="18"/>
  <c r="BB34" i="18"/>
  <c r="BB35" i="18" s="1"/>
  <c r="BB13" i="18" s="1"/>
  <c r="BB15" i="18" s="1"/>
  <c r="BC11" i="37"/>
  <c r="BC20" i="17"/>
  <c r="BC22" i="17" s="1"/>
  <c r="BC13" i="15"/>
  <c r="BC14" i="15" s="1"/>
  <c r="BC21" i="13"/>
  <c r="BC24" i="13" s="1"/>
  <c r="BC39" i="12"/>
  <c r="BI41" i="12" s="1"/>
  <c r="BC48" i="12"/>
  <c r="BC50" i="12" s="1"/>
  <c r="BC17" i="9"/>
  <c r="BC18" i="9" s="1"/>
  <c r="AU66" i="20"/>
  <c r="AU68" i="20" s="1"/>
  <c r="BD20" i="34"/>
  <c r="AX59" i="51" s="1"/>
  <c r="BB32" i="16"/>
  <c r="BB45" i="16"/>
  <c r="BB46" i="16" s="1"/>
  <c r="BB41" i="16"/>
  <c r="AT15" i="34"/>
  <c r="AN54" i="51" s="1"/>
  <c r="AS12" i="9"/>
  <c r="AS13" i="9" s="1"/>
  <c r="U29" i="35"/>
  <c r="BB19" i="31"/>
  <c r="AV34" i="51" s="1"/>
  <c r="BC29" i="19"/>
  <c r="X19" i="32"/>
  <c r="BA37" i="9"/>
  <c r="BA38" i="9" s="1"/>
  <c r="BB48" i="17"/>
  <c r="BB34" i="17"/>
  <c r="BB35" i="17" s="1"/>
  <c r="BB13" i="17" s="1"/>
  <c r="BB15" i="17" s="1"/>
  <c r="BB25" i="20"/>
  <c r="BB27" i="20" s="1"/>
  <c r="BB39" i="20"/>
  <c r="BC38" i="19"/>
  <c r="BC31" i="19"/>
  <c r="BB16" i="28"/>
  <c r="AV12" i="51" s="1"/>
  <c r="X16" i="29"/>
  <c r="AR23" i="31" l="1"/>
  <c r="AL38" i="51" s="1"/>
  <c r="AR15" i="22"/>
  <c r="AR17" i="22" s="1"/>
  <c r="AR21" i="22" s="1"/>
  <c r="AT23" i="9"/>
  <c r="BC10" i="31"/>
  <c r="AW25" i="51" s="1"/>
  <c r="BD41" i="15"/>
  <c r="BE8" i="34"/>
  <c r="AY47" i="51" s="1"/>
  <c r="BE44" i="15"/>
  <c r="Y8" i="35"/>
  <c r="BB18" i="31"/>
  <c r="AV33" i="51" s="1"/>
  <c r="BC11" i="18"/>
  <c r="X18" i="32"/>
  <c r="BB16" i="31"/>
  <c r="AV31" i="51" s="1"/>
  <c r="BC11" i="17"/>
  <c r="X16" i="32"/>
  <c r="BI13" i="37"/>
  <c r="BI20" i="18"/>
  <c r="BI22" i="18" s="1"/>
  <c r="BI61" i="12"/>
  <c r="BI49" i="12"/>
  <c r="BD27" i="10"/>
  <c r="BD29" i="10" s="1"/>
  <c r="BC15" i="15"/>
  <c r="BC32" i="15"/>
  <c r="BB35" i="20"/>
  <c r="BB36" i="20" s="1"/>
  <c r="BC33" i="20" s="1"/>
  <c r="BB40" i="20"/>
  <c r="BC48" i="19"/>
  <c r="AT26" i="34"/>
  <c r="AN65" i="51" s="1"/>
  <c r="AU69" i="20"/>
  <c r="AU77" i="20"/>
  <c r="AU78" i="20" s="1"/>
  <c r="BC17" i="34"/>
  <c r="AW56" i="51" s="1"/>
  <c r="BC27" i="17"/>
  <c r="BI28" i="17" s="1"/>
  <c r="BC12" i="17"/>
  <c r="BC10" i="34"/>
  <c r="AW49" i="51" s="1"/>
  <c r="BA25" i="31"/>
  <c r="AU40" i="51" s="1"/>
  <c r="BB36" i="9"/>
  <c r="BA28" i="9"/>
  <c r="BA30" i="9" s="1"/>
  <c r="BC8" i="31"/>
  <c r="AW23" i="51" s="1"/>
  <c r="BD20" i="13"/>
  <c r="BB41" i="20"/>
  <c r="BB46" i="20" s="1"/>
  <c r="BB47" i="20" s="1"/>
  <c r="BB17" i="28"/>
  <c r="AV13" i="51" s="1"/>
  <c r="X17" i="29"/>
  <c r="BC8" i="28"/>
  <c r="AW4" i="51" s="1"/>
  <c r="BC19" i="16"/>
  <c r="BC21" i="16" s="1"/>
  <c r="BC26" i="11"/>
  <c r="BC27" i="11" s="1"/>
  <c r="BB23" i="34"/>
  <c r="AV62" i="51" s="1"/>
  <c r="X23" i="35"/>
  <c r="BB47" i="16"/>
  <c r="BB33" i="16"/>
  <c r="BB34" i="16" s="1"/>
  <c r="BB13" i="16" s="1"/>
  <c r="BB15" i="16" s="1"/>
  <c r="BC29" i="15"/>
  <c r="BC10" i="12"/>
  <c r="BC11" i="12" s="1"/>
  <c r="BB25" i="34"/>
  <c r="AV64" i="51" s="1"/>
  <c r="X25" i="35"/>
  <c r="AS11" i="31"/>
  <c r="AM26" i="51" s="1"/>
  <c r="AT11" i="9"/>
  <c r="AS9" i="8"/>
  <c r="U11" i="32"/>
  <c r="L11" i="24"/>
  <c r="F26" i="50" s="1"/>
  <c r="O11" i="33"/>
  <c r="BC12" i="37"/>
  <c r="BC12" i="13"/>
  <c r="BC13" i="13" s="1"/>
  <c r="BD47" i="12"/>
  <c r="BB19" i="28" l="1"/>
  <c r="AV15" i="51" s="1"/>
  <c r="AS12" i="31"/>
  <c r="AM27" i="51" s="1"/>
  <c r="BC11" i="28"/>
  <c r="AW7" i="51" s="1"/>
  <c r="BB82" i="20"/>
  <c r="X19" i="29"/>
  <c r="BB76" i="20"/>
  <c r="BB81" i="20"/>
  <c r="BB48" i="20"/>
  <c r="AU11" i="34"/>
  <c r="AO50" i="51" s="1"/>
  <c r="BC26" i="20"/>
  <c r="BD11" i="13"/>
  <c r="BC40" i="18"/>
  <c r="BC41" i="18" s="1"/>
  <c r="BC27" i="18"/>
  <c r="BC28" i="18" s="1"/>
  <c r="BC14" i="31"/>
  <c r="AW29" i="51" s="1"/>
  <c r="BD24" i="11"/>
  <c r="BC14" i="34"/>
  <c r="AW53" i="51" s="1"/>
  <c r="BI21" i="34"/>
  <c r="BC60" i="51" s="1"/>
  <c r="BI12" i="18"/>
  <c r="BD25" i="12"/>
  <c r="BC19" i="34"/>
  <c r="AW58" i="51" s="1"/>
  <c r="BC26" i="16"/>
  <c r="BE27" i="16" s="1"/>
  <c r="BC12" i="16"/>
  <c r="BC14" i="13"/>
  <c r="BC30" i="13"/>
  <c r="BC33" i="13" s="1"/>
  <c r="AS22" i="9"/>
  <c r="AS24" i="9" s="1"/>
  <c r="U12" i="32"/>
  <c r="L12" i="24"/>
  <c r="F27" i="50" s="1"/>
  <c r="O12" i="33"/>
  <c r="BB24" i="34"/>
  <c r="AV63" i="51" s="1"/>
  <c r="X24" i="35"/>
  <c r="BC9" i="20"/>
  <c r="BC10" i="20" s="1"/>
  <c r="AT29" i="34"/>
  <c r="AN68" i="51" s="1"/>
  <c r="BD53" i="12"/>
  <c r="BD54" i="12" s="1"/>
  <c r="BD11" i="11"/>
  <c r="BD12" i="11" s="1"/>
  <c r="BD23" i="10"/>
  <c r="BD24" i="10" s="1"/>
  <c r="BC9" i="19"/>
  <c r="BC11" i="19" s="1"/>
  <c r="BC22" i="19" s="1"/>
  <c r="BC23" i="19" s="1"/>
  <c r="BC30" i="15"/>
  <c r="BC36" i="15" s="1"/>
  <c r="BA27" i="31"/>
  <c r="AU42" i="51" s="1"/>
  <c r="BA16" i="22"/>
  <c r="BI29" i="17"/>
  <c r="BI14" i="17"/>
  <c r="BC40" i="17"/>
  <c r="BC41" i="17" s="1"/>
  <c r="BB17" i="31"/>
  <c r="AV32" i="51" s="1"/>
  <c r="BC11" i="16"/>
  <c r="X17" i="32"/>
  <c r="AU20" i="31"/>
  <c r="AO35" i="51" s="1"/>
  <c r="AV75" i="20"/>
  <c r="AU12" i="34" l="1"/>
  <c r="AO51" i="51" s="1"/>
  <c r="AU21" i="31"/>
  <c r="AO36" i="51" s="1"/>
  <c r="BC15" i="31"/>
  <c r="AW30" i="51" s="1"/>
  <c r="BD28" i="15"/>
  <c r="BC34" i="13"/>
  <c r="BC9" i="31" s="1"/>
  <c r="AW24" i="51" s="1"/>
  <c r="BD29" i="13"/>
  <c r="BC13" i="28"/>
  <c r="AW9" i="51" s="1"/>
  <c r="BB21" i="28"/>
  <c r="AV17" i="51" s="1"/>
  <c r="X21" i="29"/>
  <c r="BC42" i="17"/>
  <c r="BC33" i="17"/>
  <c r="BC46" i="17"/>
  <c r="BC47" i="17" s="1"/>
  <c r="AT12" i="9"/>
  <c r="AT13" i="9" s="1"/>
  <c r="BC49" i="19"/>
  <c r="BC51" i="19" s="1"/>
  <c r="BC36" i="19" s="1"/>
  <c r="BD37" i="19" s="1"/>
  <c r="BC30" i="19"/>
  <c r="BC32" i="19" s="1"/>
  <c r="BE14" i="16"/>
  <c r="BE28" i="16"/>
  <c r="BC29" i="18"/>
  <c r="BC14" i="18"/>
  <c r="AV66" i="20"/>
  <c r="AV68" i="20" s="1"/>
  <c r="BD10" i="37"/>
  <c r="BD24" i="12"/>
  <c r="BD26" i="12" s="1"/>
  <c r="BD31" i="12" s="1"/>
  <c r="BD33" i="12" s="1"/>
  <c r="BE20" i="10"/>
  <c r="BD16" i="19"/>
  <c r="BD17" i="19" s="1"/>
  <c r="BD20" i="15"/>
  <c r="BD42" i="15"/>
  <c r="BD25" i="11"/>
  <c r="BC39" i="16"/>
  <c r="BC40" i="16" s="1"/>
  <c r="BI18" i="34"/>
  <c r="BC57" i="51" s="1"/>
  <c r="BD16" i="37"/>
  <c r="BD71" i="12"/>
  <c r="BD73" i="12" s="1"/>
  <c r="BD63" i="12"/>
  <c r="BD65" i="12" s="1"/>
  <c r="BC14" i="20"/>
  <c r="BC15" i="20" s="1"/>
  <c r="BC20" i="20"/>
  <c r="BC21" i="20" s="1"/>
  <c r="BC34" i="20" s="1"/>
  <c r="AS23" i="31"/>
  <c r="AM38" i="51" s="1"/>
  <c r="AS15" i="22"/>
  <c r="AS17" i="22" s="1"/>
  <c r="AS21" i="22" s="1"/>
  <c r="O23" i="33"/>
  <c r="L23" i="24"/>
  <c r="F38" i="50" s="1"/>
  <c r="U23" i="32"/>
  <c r="BC42" i="18"/>
  <c r="BC46" i="18"/>
  <c r="BC47" i="18" s="1"/>
  <c r="BC33" i="18"/>
  <c r="AU15" i="34"/>
  <c r="AO54" i="51" s="1"/>
  <c r="AU23" i="9" l="1"/>
  <c r="BB22" i="28"/>
  <c r="AV18" i="51" s="1"/>
  <c r="BC14" i="28"/>
  <c r="AW10" i="51" s="1"/>
  <c r="BD21" i="19"/>
  <c r="BD43" i="15"/>
  <c r="BD21" i="15"/>
  <c r="BF22" i="15" s="1"/>
  <c r="BE20" i="34"/>
  <c r="AY59" i="51" s="1"/>
  <c r="Y20" i="35"/>
  <c r="AT11" i="31"/>
  <c r="AN26" i="51" s="1"/>
  <c r="AT9" i="8"/>
  <c r="AU11" i="9"/>
  <c r="BC34" i="17"/>
  <c r="BC35" i="17" s="1"/>
  <c r="BC13" i="17" s="1"/>
  <c r="BC15" i="17" s="1"/>
  <c r="BC48" i="17"/>
  <c r="AU26" i="34"/>
  <c r="AO65" i="51" s="1"/>
  <c r="BD11" i="37"/>
  <c r="BD20" i="17"/>
  <c r="BD22" i="17" s="1"/>
  <c r="BD13" i="15"/>
  <c r="BD14" i="15" s="1"/>
  <c r="BD21" i="13"/>
  <c r="BD24" i="13" s="1"/>
  <c r="BD48" i="12"/>
  <c r="BD50" i="12" s="1"/>
  <c r="BD39" i="12"/>
  <c r="BJ41" i="12" s="1"/>
  <c r="BD17" i="9"/>
  <c r="BD18" i="9" s="1"/>
  <c r="BC19" i="31"/>
  <c r="AW34" i="51" s="1"/>
  <c r="BD29" i="19"/>
  <c r="BC34" i="18"/>
  <c r="BC35" i="18" s="1"/>
  <c r="BC13" i="18" s="1"/>
  <c r="BC15" i="18" s="1"/>
  <c r="BC48" i="18"/>
  <c r="BC18" i="28"/>
  <c r="AW14" i="51" s="1"/>
  <c r="BD31" i="19"/>
  <c r="BD38" i="19"/>
  <c r="BC16" i="28"/>
  <c r="AW12" i="51" s="1"/>
  <c r="BD15" i="37"/>
  <c r="BE60" i="12"/>
  <c r="BC45" i="16"/>
  <c r="BC46" i="16" s="1"/>
  <c r="BC41" i="16"/>
  <c r="BC32" i="16"/>
  <c r="AV69" i="20"/>
  <c r="AV77" i="20"/>
  <c r="AV78" i="20" s="1"/>
  <c r="BD17" i="37"/>
  <c r="BE70" i="12"/>
  <c r="BD17" i="11"/>
  <c r="BD18" i="11" s="1"/>
  <c r="BD45" i="15"/>
  <c r="BE28" i="10"/>
  <c r="BC25" i="20"/>
  <c r="BC27" i="20" s="1"/>
  <c r="BC39" i="20"/>
  <c r="BC22" i="34"/>
  <c r="AW61" i="51" s="1"/>
  <c r="BB37" i="9"/>
  <c r="BB38" i="9" s="1"/>
  <c r="X22" i="29"/>
  <c r="AT12" i="31" l="1"/>
  <c r="AN27" i="51" s="1"/>
  <c r="AV20" i="31"/>
  <c r="AP35" i="51" s="1"/>
  <c r="AW75" i="20"/>
  <c r="V20" i="32"/>
  <c r="BD8" i="28"/>
  <c r="AX4" i="51" s="1"/>
  <c r="BD19" i="16"/>
  <c r="BD21" i="16" s="1"/>
  <c r="BD26" i="11"/>
  <c r="BD27" i="11" s="1"/>
  <c r="BJ13" i="37"/>
  <c r="BJ20" i="18"/>
  <c r="BJ22" i="18" s="1"/>
  <c r="BJ61" i="12"/>
  <c r="BJ49" i="12"/>
  <c r="AV11" i="34"/>
  <c r="AP50" i="51" s="1"/>
  <c r="V11" i="35"/>
  <c r="BD10" i="31"/>
  <c r="AX25" i="51" s="1"/>
  <c r="BE41" i="15"/>
  <c r="BD29" i="15"/>
  <c r="BD10" i="12"/>
  <c r="BD11" i="12" s="1"/>
  <c r="BC25" i="34"/>
  <c r="AW64" i="51" s="1"/>
  <c r="BD12" i="37"/>
  <c r="BD12" i="13"/>
  <c r="BD13" i="13" s="1"/>
  <c r="BE47" i="12"/>
  <c r="AU29" i="34"/>
  <c r="AO68" i="51" s="1"/>
  <c r="BF8" i="34"/>
  <c r="AZ47" i="51" s="1"/>
  <c r="BF44" i="15"/>
  <c r="BC17" i="28"/>
  <c r="AW13" i="51" s="1"/>
  <c r="BC47" i="16"/>
  <c r="BC33" i="16"/>
  <c r="BC34" i="16" s="1"/>
  <c r="BC13" i="16" s="1"/>
  <c r="BC15" i="16" s="1"/>
  <c r="BD8" i="31"/>
  <c r="AX23" i="51" s="1"/>
  <c r="BE20" i="13"/>
  <c r="BC23" i="34"/>
  <c r="AW62" i="51" s="1"/>
  <c r="BB25" i="31"/>
  <c r="AV40" i="51" s="1"/>
  <c r="BC36" i="9"/>
  <c r="BB28" i="9"/>
  <c r="BB30" i="9" s="1"/>
  <c r="X25" i="32"/>
  <c r="BC16" i="31"/>
  <c r="AW31" i="51" s="1"/>
  <c r="BD11" i="17"/>
  <c r="BD32" i="15"/>
  <c r="BD15" i="15"/>
  <c r="BC40" i="20"/>
  <c r="BC41" i="20" s="1"/>
  <c r="BC46" i="20" s="1"/>
  <c r="BC47" i="20" s="1"/>
  <c r="BC35" i="20"/>
  <c r="BC36" i="20" s="1"/>
  <c r="BD33" i="20" s="1"/>
  <c r="BC18" i="31"/>
  <c r="AW33" i="51" s="1"/>
  <c r="BD11" i="18"/>
  <c r="BE27" i="10"/>
  <c r="BE29" i="10" s="1"/>
  <c r="BD10" i="34"/>
  <c r="AX49" i="51" s="1"/>
  <c r="BD48" i="19"/>
  <c r="BD17" i="34"/>
  <c r="AX56" i="51" s="1"/>
  <c r="BD27" i="17"/>
  <c r="BJ28" i="17" s="1"/>
  <c r="BD12" i="17"/>
  <c r="BD11" i="28" l="1"/>
  <c r="AX7" i="51" s="1"/>
  <c r="AV12" i="34"/>
  <c r="AP51" i="51" s="1"/>
  <c r="AV21" i="31"/>
  <c r="AP36" i="51" s="1"/>
  <c r="BC19" i="28"/>
  <c r="AW15" i="51" s="1"/>
  <c r="AT22" i="9"/>
  <c r="AT24" i="9" s="1"/>
  <c r="BC81" i="20"/>
  <c r="BC76" i="20"/>
  <c r="BC48" i="20"/>
  <c r="BC17" i="31"/>
  <c r="AW32" i="51" s="1"/>
  <c r="BD11" i="16"/>
  <c r="BD40" i="18"/>
  <c r="BD41" i="18" s="1"/>
  <c r="BD27" i="18"/>
  <c r="BD28" i="18" s="1"/>
  <c r="BE11" i="13"/>
  <c r="AV15" i="34"/>
  <c r="AP54" i="51" s="1"/>
  <c r="V12" i="35"/>
  <c r="BD19" i="34"/>
  <c r="AX58" i="51" s="1"/>
  <c r="BD26" i="16"/>
  <c r="BF27" i="16" s="1"/>
  <c r="BD12" i="16"/>
  <c r="BE53" i="12"/>
  <c r="BE54" i="12" s="1"/>
  <c r="BE11" i="11"/>
  <c r="BE12" i="11" s="1"/>
  <c r="BE23" i="10"/>
  <c r="BE24" i="10" s="1"/>
  <c r="BD40" i="17"/>
  <c r="BD41" i="17" s="1"/>
  <c r="BJ14" i="17"/>
  <c r="BJ29" i="17"/>
  <c r="AU12" i="9"/>
  <c r="AU13" i="9" s="1"/>
  <c r="BD9" i="19"/>
  <c r="BD11" i="19" s="1"/>
  <c r="BD22" i="19" s="1"/>
  <c r="BD23" i="19" s="1"/>
  <c r="BD30" i="15"/>
  <c r="BD36" i="15" s="1"/>
  <c r="BD9" i="20"/>
  <c r="BD10" i="20" s="1"/>
  <c r="BC82" i="20"/>
  <c r="BB27" i="31"/>
  <c r="AV42" i="51" s="1"/>
  <c r="BB16" i="22"/>
  <c r="X27" i="32"/>
  <c r="BE25" i="12"/>
  <c r="BD14" i="31"/>
  <c r="AX29" i="51" s="1"/>
  <c r="BE24" i="11"/>
  <c r="BD26" i="20"/>
  <c r="BC24" i="34"/>
  <c r="AW63" i="51" s="1"/>
  <c r="BD14" i="13"/>
  <c r="BD30" i="13"/>
  <c r="BD33" i="13" s="1"/>
  <c r="AW66" i="20"/>
  <c r="AW68" i="20" s="1"/>
  <c r="BJ21" i="34"/>
  <c r="BD60" i="51" s="1"/>
  <c r="BJ12" i="18"/>
  <c r="AV23" i="9"/>
  <c r="V21" i="32"/>
  <c r="BD14" i="34"/>
  <c r="AX53" i="51" s="1"/>
  <c r="AT23" i="31" l="1"/>
  <c r="AN38" i="51" s="1"/>
  <c r="AT15" i="22"/>
  <c r="AT17" i="22" s="1"/>
  <c r="AT21" i="22" s="1"/>
  <c r="BD13" i="28"/>
  <c r="AX9" i="51" s="1"/>
  <c r="BD49" i="19"/>
  <c r="BD51" i="19" s="1"/>
  <c r="BD36" i="19" s="1"/>
  <c r="BE37" i="19" s="1"/>
  <c r="BD30" i="19"/>
  <c r="BD32" i="19" s="1"/>
  <c r="BD29" i="18"/>
  <c r="BD14" i="18"/>
  <c r="BE10" i="37"/>
  <c r="BE24" i="12"/>
  <c r="BE26" i="12" s="1"/>
  <c r="BE31" i="12" s="1"/>
  <c r="BE33" i="12" s="1"/>
  <c r="BF20" i="10"/>
  <c r="Q10" i="39"/>
  <c r="Y10" i="38"/>
  <c r="M10" i="26"/>
  <c r="BD42" i="18"/>
  <c r="BD33" i="18"/>
  <c r="BD46" i="18"/>
  <c r="BD47" i="18" s="1"/>
  <c r="BE16" i="19"/>
  <c r="BE17" i="19" s="1"/>
  <c r="BE42" i="15"/>
  <c r="BE20" i="15"/>
  <c r="BE25" i="11"/>
  <c r="BD39" i="16"/>
  <c r="BD40" i="16" s="1"/>
  <c r="AU11" i="31"/>
  <c r="AO26" i="51" s="1"/>
  <c r="AU9" i="8"/>
  <c r="AV11" i="9"/>
  <c r="BE16" i="37"/>
  <c r="BE63" i="12"/>
  <c r="BE65" i="12" s="1"/>
  <c r="BE71" i="12"/>
  <c r="BE73" i="12" s="1"/>
  <c r="Y16" i="38"/>
  <c r="AV26" i="34"/>
  <c r="AP65" i="51" s="1"/>
  <c r="V15" i="35"/>
  <c r="BD20" i="20"/>
  <c r="BD21" i="20" s="1"/>
  <c r="BD34" i="20" s="1"/>
  <c r="BD14" i="20"/>
  <c r="BD15" i="20" s="1"/>
  <c r="BC21" i="28"/>
  <c r="AW17" i="51" s="1"/>
  <c r="BD33" i="17"/>
  <c r="BD42" i="17"/>
  <c r="BD46" i="17"/>
  <c r="BD47" i="17" s="1"/>
  <c r="BD15" i="31"/>
  <c r="AX30" i="51" s="1"/>
  <c r="BE28" i="15"/>
  <c r="AW77" i="20"/>
  <c r="AW78" i="20" s="1"/>
  <c r="AW69" i="20"/>
  <c r="BJ18" i="34"/>
  <c r="BD57" i="51" s="1"/>
  <c r="BD34" i="13"/>
  <c r="BD9" i="31" s="1"/>
  <c r="AX24" i="51" s="1"/>
  <c r="BE29" i="13"/>
  <c r="BF14" i="16"/>
  <c r="BF28" i="16"/>
  <c r="AU12" i="31" l="1"/>
  <c r="AO27" i="51" s="1"/>
  <c r="BD14" i="28"/>
  <c r="AX10" i="51" s="1"/>
  <c r="BC22" i="28"/>
  <c r="AW18" i="51" s="1"/>
  <c r="AV29" i="34"/>
  <c r="AP68" i="51" s="1"/>
  <c r="V26" i="35"/>
  <c r="BD18" i="28"/>
  <c r="AX14" i="51" s="1"/>
  <c r="BD22" i="34"/>
  <c r="AX61" i="51" s="1"/>
  <c r="BF20" i="34"/>
  <c r="AZ59" i="51" s="1"/>
  <c r="BD41" i="16"/>
  <c r="BD32" i="16"/>
  <c r="BD45" i="16"/>
  <c r="BD46" i="16" s="1"/>
  <c r="BD19" i="31"/>
  <c r="AX34" i="51" s="1"/>
  <c r="BE29" i="19"/>
  <c r="AW11" i="34"/>
  <c r="AQ50" i="51" s="1"/>
  <c r="BE17" i="37"/>
  <c r="BF70" i="12"/>
  <c r="BE17" i="11"/>
  <c r="BE18" i="11" s="1"/>
  <c r="Q17" i="39"/>
  <c r="M17" i="26"/>
  <c r="Y17" i="38"/>
  <c r="BE38" i="19"/>
  <c r="BE31" i="19"/>
  <c r="BD39" i="20"/>
  <c r="BD25" i="20"/>
  <c r="BD27" i="20" s="1"/>
  <c r="BE15" i="37"/>
  <c r="BF60" i="12"/>
  <c r="Q15" i="39"/>
  <c r="Y15" i="38"/>
  <c r="M15" i="26"/>
  <c r="BF28" i="10"/>
  <c r="BC37" i="9"/>
  <c r="BC38" i="9" s="1"/>
  <c r="BE21" i="19"/>
  <c r="BE21" i="15"/>
  <c r="BG22" i="15" s="1"/>
  <c r="BE43" i="15"/>
  <c r="BE45" i="15" s="1"/>
  <c r="BE11" i="37"/>
  <c r="BE20" i="17"/>
  <c r="BE22" i="17" s="1"/>
  <c r="BE13" i="15"/>
  <c r="BE14" i="15" s="1"/>
  <c r="BE21" i="13"/>
  <c r="BE24" i="13" s="1"/>
  <c r="BE39" i="12"/>
  <c r="BK41" i="12" s="1"/>
  <c r="BE48" i="12"/>
  <c r="BE50" i="12" s="1"/>
  <c r="BE17" i="9"/>
  <c r="BE18" i="9" s="1"/>
  <c r="Y11" i="38"/>
  <c r="AW20" i="31"/>
  <c r="AQ35" i="51" s="1"/>
  <c r="AX75" i="20"/>
  <c r="BD34" i="17"/>
  <c r="BD35" i="17" s="1"/>
  <c r="BD13" i="17" s="1"/>
  <c r="BD15" i="17" s="1"/>
  <c r="BD48" i="17"/>
  <c r="BD16" i="28"/>
  <c r="AX12" i="51" s="1"/>
  <c r="BD34" i="18"/>
  <c r="BD35" i="18" s="1"/>
  <c r="BD13" i="18" s="1"/>
  <c r="BD15" i="18" s="1"/>
  <c r="BD48" i="18"/>
  <c r="AW21" i="31" l="1"/>
  <c r="AQ36" i="51" s="1"/>
  <c r="AW12" i="34"/>
  <c r="AQ51" i="51" s="1"/>
  <c r="AU22" i="9"/>
  <c r="AU24" i="9" s="1"/>
  <c r="BG8" i="34"/>
  <c r="BA47" i="51" s="1"/>
  <c r="BG44" i="15"/>
  <c r="BD18" i="31"/>
  <c r="AX33" i="51" s="1"/>
  <c r="BE11" i="18"/>
  <c r="BE10" i="31"/>
  <c r="AY25" i="51" s="1"/>
  <c r="BF41" i="15"/>
  <c r="M10" i="24"/>
  <c r="G25" i="50" s="1"/>
  <c r="Y10" i="32"/>
  <c r="Q10" i="33"/>
  <c r="BC25" i="31"/>
  <c r="AW40" i="51" s="1"/>
  <c r="BC28" i="9"/>
  <c r="BC30" i="9" s="1"/>
  <c r="BD36" i="9"/>
  <c r="BD23" i="34"/>
  <c r="AX62" i="51" s="1"/>
  <c r="BD40" i="20"/>
  <c r="BD35" i="20"/>
  <c r="BD36" i="20" s="1"/>
  <c r="BE33" i="20" s="1"/>
  <c r="BE8" i="28"/>
  <c r="AY4" i="51" s="1"/>
  <c r="BE19" i="16"/>
  <c r="BE21" i="16" s="1"/>
  <c r="BE26" i="11"/>
  <c r="BE27" i="11" s="1"/>
  <c r="Y8" i="29"/>
  <c r="BE48" i="19"/>
  <c r="AV12" i="9"/>
  <c r="AV13" i="9" s="1"/>
  <c r="V29" i="35"/>
  <c r="BE17" i="34"/>
  <c r="AY56" i="51" s="1"/>
  <c r="BE27" i="17"/>
  <c r="BK28" i="17" s="1"/>
  <c r="BE12" i="17"/>
  <c r="Y17" i="35"/>
  <c r="AW15" i="34"/>
  <c r="AQ54" i="51" s="1"/>
  <c r="BE12" i="37"/>
  <c r="BE12" i="13"/>
  <c r="BE13" i="13" s="1"/>
  <c r="BF47" i="12"/>
  <c r="M12" i="26"/>
  <c r="Q12" i="39"/>
  <c r="Y12" i="38"/>
  <c r="BD41" i="20"/>
  <c r="BD46" i="20" s="1"/>
  <c r="BD47" i="20" s="1"/>
  <c r="BK13" i="37"/>
  <c r="BK20" i="18"/>
  <c r="BK22" i="18" s="1"/>
  <c r="BK49" i="12"/>
  <c r="BK61" i="12"/>
  <c r="AA13" i="38"/>
  <c r="BD47" i="16"/>
  <c r="BD33" i="16"/>
  <c r="BD34" i="16" s="1"/>
  <c r="BD13" i="16" s="1"/>
  <c r="BD15" i="16" s="1"/>
  <c r="BF27" i="10"/>
  <c r="BF29" i="10" s="1"/>
  <c r="BE29" i="15"/>
  <c r="BE10" i="12"/>
  <c r="BE11" i="12" s="1"/>
  <c r="BD25" i="34"/>
  <c r="AX64" i="51" s="1"/>
  <c r="AX66" i="20"/>
  <c r="AX68" i="20" s="1"/>
  <c r="BE8" i="31"/>
  <c r="AY23" i="51" s="1"/>
  <c r="BF20" i="13"/>
  <c r="Q8" i="33"/>
  <c r="M8" i="24"/>
  <c r="G23" i="50" s="1"/>
  <c r="Y8" i="32"/>
  <c r="BD16" i="31"/>
  <c r="AX31" i="51" s="1"/>
  <c r="BE11" i="17"/>
  <c r="BE15" i="15"/>
  <c r="BE32" i="15"/>
  <c r="BE10" i="34"/>
  <c r="AY49" i="51" s="1"/>
  <c r="Y10" i="35"/>
  <c r="BD17" i="28"/>
  <c r="AX13" i="51" s="1"/>
  <c r="BD19" i="28" l="1"/>
  <c r="AX15" i="51" s="1"/>
  <c r="AU23" i="31"/>
  <c r="AO38" i="51" s="1"/>
  <c r="AU15" i="22"/>
  <c r="AU17" i="22" s="1"/>
  <c r="AU21" i="22" s="1"/>
  <c r="BE11" i="28"/>
  <c r="AY7" i="51" s="1"/>
  <c r="AW23" i="9"/>
  <c r="BK21" i="34"/>
  <c r="BE60" i="51" s="1"/>
  <c r="BK12" i="18"/>
  <c r="AA21" i="35"/>
  <c r="BF25" i="12"/>
  <c r="BF11" i="13"/>
  <c r="BE14" i="13"/>
  <c r="BE30" i="13"/>
  <c r="BE33" i="13" s="1"/>
  <c r="BE40" i="18"/>
  <c r="BE41" i="18" s="1"/>
  <c r="BE27" i="18"/>
  <c r="BE28" i="18" s="1"/>
  <c r="BK14" i="17"/>
  <c r="BK29" i="17"/>
  <c r="BE14" i="34"/>
  <c r="AY53" i="51" s="1"/>
  <c r="Y14" i="35"/>
  <c r="BF53" i="12"/>
  <c r="BF54" i="12" s="1"/>
  <c r="BF11" i="11"/>
  <c r="BF12" i="11" s="1"/>
  <c r="BF23" i="10"/>
  <c r="BF24" i="10" s="1"/>
  <c r="BD81" i="20"/>
  <c r="BD76" i="20"/>
  <c r="BD48" i="20"/>
  <c r="BE14" i="31"/>
  <c r="AY29" i="51" s="1"/>
  <c r="BF24" i="11"/>
  <c r="Y14" i="32"/>
  <c r="Q14" i="33"/>
  <c r="M14" i="24"/>
  <c r="G29" i="50" s="1"/>
  <c r="BC27" i="31"/>
  <c r="AW42" i="51" s="1"/>
  <c r="BC16" i="22"/>
  <c r="BE19" i="34"/>
  <c r="AY58" i="51" s="1"/>
  <c r="BE26" i="16"/>
  <c r="BG27" i="16" s="1"/>
  <c r="BE12" i="16"/>
  <c r="Y19" i="35"/>
  <c r="BE40" i="17"/>
  <c r="BE41" i="17" s="1"/>
  <c r="AX69" i="20"/>
  <c r="AX77" i="20"/>
  <c r="AX78" i="20" s="1"/>
  <c r="BD24" i="34"/>
  <c r="AX63" i="51" s="1"/>
  <c r="BE9" i="20"/>
  <c r="BE10" i="20" s="1"/>
  <c r="Y11" i="29"/>
  <c r="BD17" i="31"/>
  <c r="AX32" i="51" s="1"/>
  <c r="BE11" i="16"/>
  <c r="BE26" i="20"/>
  <c r="BD82" i="20"/>
  <c r="AW26" i="34"/>
  <c r="AQ65" i="51" s="1"/>
  <c r="AV11" i="31"/>
  <c r="AP26" i="51" s="1"/>
  <c r="AW11" i="9"/>
  <c r="AV9" i="8"/>
  <c r="V11" i="32"/>
  <c r="BE9" i="19"/>
  <c r="BE11" i="19" s="1"/>
  <c r="BE22" i="19" s="1"/>
  <c r="BE23" i="19" s="1"/>
  <c r="BE30" i="15"/>
  <c r="BE36" i="15" s="1"/>
  <c r="AV12" i="31" l="1"/>
  <c r="AP27" i="51" s="1"/>
  <c r="BE15" i="31"/>
  <c r="AY30" i="51" s="1"/>
  <c r="BF28" i="15"/>
  <c r="Y15" i="32"/>
  <c r="Q15" i="33"/>
  <c r="M15" i="24"/>
  <c r="G30" i="50" s="1"/>
  <c r="BF10" i="37"/>
  <c r="BF24" i="12"/>
  <c r="BF26" i="12" s="1"/>
  <c r="BF31" i="12" s="1"/>
  <c r="BF33" i="12" s="1"/>
  <c r="BG20" i="10"/>
  <c r="BE29" i="18"/>
  <c r="BE14" i="18"/>
  <c r="BE46" i="17"/>
  <c r="BE47" i="17" s="1"/>
  <c r="BE42" i="17"/>
  <c r="BE33" i="17"/>
  <c r="BF16" i="37"/>
  <c r="BF63" i="12"/>
  <c r="BF65" i="12" s="1"/>
  <c r="BF71" i="12"/>
  <c r="BF73" i="12" s="1"/>
  <c r="BE42" i="18"/>
  <c r="BE33" i="18"/>
  <c r="BE46" i="18"/>
  <c r="BE47" i="18" s="1"/>
  <c r="AV22" i="9"/>
  <c r="AV24" i="9" s="1"/>
  <c r="V12" i="32"/>
  <c r="BG14" i="16"/>
  <c r="BG28" i="16"/>
  <c r="BF29" i="13"/>
  <c r="BE34" i="13"/>
  <c r="BE49" i="19"/>
  <c r="BE51" i="19" s="1"/>
  <c r="BE36" i="19" s="1"/>
  <c r="BF37" i="19" s="1"/>
  <c r="BE30" i="19"/>
  <c r="BE32" i="19" s="1"/>
  <c r="BE14" i="20"/>
  <c r="BE15" i="20" s="1"/>
  <c r="BE20" i="20"/>
  <c r="BE21" i="20" s="1"/>
  <c r="BE34" i="20" s="1"/>
  <c r="AX20" i="31"/>
  <c r="AR35" i="51" s="1"/>
  <c r="AY75" i="20"/>
  <c r="BD21" i="28"/>
  <c r="AX17" i="51" s="1"/>
  <c r="BE13" i="28"/>
  <c r="AY9" i="51" s="1"/>
  <c r="Y13" i="29"/>
  <c r="BE39" i="16"/>
  <c r="BE40" i="16" s="1"/>
  <c r="AX11" i="34"/>
  <c r="AR50" i="51" s="1"/>
  <c r="BK18" i="34"/>
  <c r="BE57" i="51" s="1"/>
  <c r="AA18" i="35"/>
  <c r="AW29" i="34"/>
  <c r="AQ68" i="51" s="1"/>
  <c r="BF16" i="19"/>
  <c r="BF17" i="19" s="1"/>
  <c r="BF20" i="15"/>
  <c r="BF42" i="15"/>
  <c r="BF25" i="11"/>
  <c r="AX21" i="31" l="1"/>
  <c r="AR36" i="51" s="1"/>
  <c r="AX12" i="34"/>
  <c r="AR51" i="51" s="1"/>
  <c r="BE14" i="28"/>
  <c r="AY10" i="51" s="1"/>
  <c r="BD22" i="28"/>
  <c r="AX18" i="51" s="1"/>
  <c r="BE9" i="31"/>
  <c r="AY24" i="51" s="1"/>
  <c r="Y9" i="32"/>
  <c r="Q9" i="33"/>
  <c r="M9" i="24"/>
  <c r="G24" i="50" s="1"/>
  <c r="BF15" i="37"/>
  <c r="BG60" i="12"/>
  <c r="BF11" i="37"/>
  <c r="BF20" i="17"/>
  <c r="BF22" i="17" s="1"/>
  <c r="BF13" i="15"/>
  <c r="BF14" i="15" s="1"/>
  <c r="BF39" i="12"/>
  <c r="BL41" i="12" s="1"/>
  <c r="BF48" i="12"/>
  <c r="BF50" i="12" s="1"/>
  <c r="BF21" i="13"/>
  <c r="BF24" i="13" s="1"/>
  <c r="BF17" i="9"/>
  <c r="BF18" i="9" s="1"/>
  <c r="BE48" i="18"/>
  <c r="BE34" i="18"/>
  <c r="BE35" i="18" s="1"/>
  <c r="BE13" i="18" s="1"/>
  <c r="BE15" i="18" s="1"/>
  <c r="AY66" i="20"/>
  <c r="AY68" i="20" s="1"/>
  <c r="BF21" i="19"/>
  <c r="BF43" i="15"/>
  <c r="BF45" i="15" s="1"/>
  <c r="BF21" i="15"/>
  <c r="BH22" i="15" s="1"/>
  <c r="AX15" i="34"/>
  <c r="AR54" i="51" s="1"/>
  <c r="BG20" i="34"/>
  <c r="BA59" i="51" s="1"/>
  <c r="BE18" i="28"/>
  <c r="AY14" i="51" s="1"/>
  <c r="Y18" i="29"/>
  <c r="BE16" i="28"/>
  <c r="AY12" i="51" s="1"/>
  <c r="Y16" i="29"/>
  <c r="BE48" i="17"/>
  <c r="BE34" i="17"/>
  <c r="BE35" i="17" s="1"/>
  <c r="BE13" i="17" s="1"/>
  <c r="BE15" i="17" s="1"/>
  <c r="BE32" i="16"/>
  <c r="BE45" i="16"/>
  <c r="BE46" i="16" s="1"/>
  <c r="BE41" i="16"/>
  <c r="BE39" i="20"/>
  <c r="BE25" i="20"/>
  <c r="BE27" i="20" s="1"/>
  <c r="BE19" i="31"/>
  <c r="AY34" i="51" s="1"/>
  <c r="BF29" i="19"/>
  <c r="Y19" i="32"/>
  <c r="M19" i="24"/>
  <c r="G34" i="50" s="1"/>
  <c r="Q19" i="33"/>
  <c r="AV23" i="31"/>
  <c r="AP38" i="51" s="1"/>
  <c r="AV15" i="22"/>
  <c r="AV17" i="22" s="1"/>
  <c r="AV21" i="22" s="1"/>
  <c r="V23" i="32"/>
  <c r="BE22" i="34"/>
  <c r="AY61" i="51" s="1"/>
  <c r="Y22" i="35"/>
  <c r="AW12" i="9"/>
  <c r="AW13" i="9" s="1"/>
  <c r="Y14" i="29"/>
  <c r="BF38" i="19"/>
  <c r="BF31" i="19"/>
  <c r="BF17" i="37"/>
  <c r="BG70" i="12"/>
  <c r="BF17" i="11"/>
  <c r="BF18" i="11" s="1"/>
  <c r="BG28" i="10"/>
  <c r="BD37" i="9" l="1"/>
  <c r="BD38" i="9" s="1"/>
  <c r="AX23" i="9"/>
  <c r="BH8" i="34"/>
  <c r="BB47" i="51" s="1"/>
  <c r="BH44" i="15"/>
  <c r="Z8" i="35"/>
  <c r="BE18" i="31"/>
  <c r="AY33" i="51" s="1"/>
  <c r="BF11" i="18"/>
  <c r="M18" i="24"/>
  <c r="G33" i="50" s="1"/>
  <c r="Y18" i="32"/>
  <c r="Q18" i="33"/>
  <c r="BF10" i="31"/>
  <c r="AZ25" i="51" s="1"/>
  <c r="BG41" i="15"/>
  <c r="AX26" i="34"/>
  <c r="AR65" i="51" s="1"/>
  <c r="AY69" i="20"/>
  <c r="AY77" i="20"/>
  <c r="AY78" i="20" s="1"/>
  <c r="BG27" i="10"/>
  <c r="BG29" i="10" s="1"/>
  <c r="BE47" i="16"/>
  <c r="BE33" i="16"/>
  <c r="BE25" i="34"/>
  <c r="AY64" i="51" s="1"/>
  <c r="Y25" i="35"/>
  <c r="BF29" i="15"/>
  <c r="BF10" i="12"/>
  <c r="BF11" i="12" s="1"/>
  <c r="AW11" i="31"/>
  <c r="AQ26" i="51" s="1"/>
  <c r="AX11" i="9"/>
  <c r="AW9" i="8"/>
  <c r="BE34" i="16"/>
  <c r="BE13" i="16" s="1"/>
  <c r="BE15" i="16" s="1"/>
  <c r="BF8" i="31"/>
  <c r="AZ23" i="51" s="1"/>
  <c r="BG20" i="13"/>
  <c r="BF12" i="37"/>
  <c r="BG47" i="12"/>
  <c r="BF12" i="13"/>
  <c r="BF13" i="13" s="1"/>
  <c r="BE16" i="31"/>
  <c r="AY31" i="51" s="1"/>
  <c r="BF11" i="17"/>
  <c r="Y16" i="32"/>
  <c r="Q16" i="33"/>
  <c r="M16" i="24"/>
  <c r="G31" i="50" s="1"/>
  <c r="BD25" i="31"/>
  <c r="AX40" i="51" s="1"/>
  <c r="BD28" i="9"/>
  <c r="BD30" i="9" s="1"/>
  <c r="BE36" i="9"/>
  <c r="BL13" i="37"/>
  <c r="BL20" i="18"/>
  <c r="BL22" i="18" s="1"/>
  <c r="BL49" i="12"/>
  <c r="BL61" i="12"/>
  <c r="BF48" i="19"/>
  <c r="BF15" i="15"/>
  <c r="BF32" i="15"/>
  <c r="BF8" i="28"/>
  <c r="AZ4" i="51" s="1"/>
  <c r="BF19" i="16"/>
  <c r="BF21" i="16" s="1"/>
  <c r="BF26" i="11"/>
  <c r="BF27" i="11" s="1"/>
  <c r="BE17" i="28"/>
  <c r="AY13" i="51" s="1"/>
  <c r="Y17" i="29"/>
  <c r="BF10" i="34"/>
  <c r="AZ49" i="51" s="1"/>
  <c r="BE23" i="34"/>
  <c r="AY62" i="51" s="1"/>
  <c r="Y23" i="35"/>
  <c r="BE40" i="20"/>
  <c r="BE41" i="20" s="1"/>
  <c r="BE46" i="20" s="1"/>
  <c r="BE47" i="20" s="1"/>
  <c r="BE35" i="20"/>
  <c r="BE36" i="20" s="1"/>
  <c r="BF33" i="20" s="1"/>
  <c r="BF17" i="34"/>
  <c r="AZ56" i="51" s="1"/>
  <c r="BF12" i="17"/>
  <c r="BF27" i="17"/>
  <c r="BL28" i="17" s="1"/>
  <c r="AW12" i="31" l="1"/>
  <c r="AQ27" i="51" s="1"/>
  <c r="BF11" i="28"/>
  <c r="AZ7" i="51" s="1"/>
  <c r="BE19" i="28"/>
  <c r="AY15" i="51" s="1"/>
  <c r="BE48" i="20"/>
  <c r="BE81" i="20"/>
  <c r="BE76" i="20"/>
  <c r="Y19" i="29"/>
  <c r="BF40" i="18"/>
  <c r="BF41" i="18" s="1"/>
  <c r="BF27" i="18"/>
  <c r="BF28" i="18" s="1"/>
  <c r="BF26" i="20"/>
  <c r="BL21" i="34"/>
  <c r="BF60" i="51" s="1"/>
  <c r="BL12" i="18"/>
  <c r="BF40" i="17"/>
  <c r="BF41" i="17" s="1"/>
  <c r="AX29" i="34"/>
  <c r="AR68" i="51" s="1"/>
  <c r="BF14" i="34"/>
  <c r="AZ53" i="51" s="1"/>
  <c r="BE17" i="31"/>
  <c r="AY32" i="51" s="1"/>
  <c r="BF11" i="16"/>
  <c r="Q17" i="33"/>
  <c r="Y17" i="32"/>
  <c r="M17" i="24"/>
  <c r="G32" i="50" s="1"/>
  <c r="BF30" i="13"/>
  <c r="BF33" i="13" s="1"/>
  <c r="BF14" i="13"/>
  <c r="BE24" i="34"/>
  <c r="AY63" i="51" s="1"/>
  <c r="Y24" i="35"/>
  <c r="BD27" i="31"/>
  <c r="AX42" i="51" s="1"/>
  <c r="BD16" i="22"/>
  <c r="BG25" i="12"/>
  <c r="BG53" i="12"/>
  <c r="BG54" i="12" s="1"/>
  <c r="BG11" i="11"/>
  <c r="BG12" i="11" s="1"/>
  <c r="BG23" i="10"/>
  <c r="BG24" i="10" s="1"/>
  <c r="BL14" i="17"/>
  <c r="BL29" i="17"/>
  <c r="BF19" i="34"/>
  <c r="AZ58" i="51" s="1"/>
  <c r="BF26" i="16"/>
  <c r="BH27" i="16" s="1"/>
  <c r="BF12" i="16"/>
  <c r="BF9" i="19"/>
  <c r="BF11" i="19" s="1"/>
  <c r="BF22" i="19" s="1"/>
  <c r="BF23" i="19" s="1"/>
  <c r="BF30" i="15"/>
  <c r="AY20" i="31"/>
  <c r="AS35" i="51" s="1"/>
  <c r="AZ75" i="20"/>
  <c r="W20" i="32"/>
  <c r="P20" i="33"/>
  <c r="BF14" i="31"/>
  <c r="AZ29" i="51" s="1"/>
  <c r="BG24" i="11"/>
  <c r="BF9" i="20"/>
  <c r="BF10" i="20" s="1"/>
  <c r="BG11" i="13"/>
  <c r="BF36" i="15"/>
  <c r="AY11" i="34"/>
  <c r="AS50" i="51" s="1"/>
  <c r="W11" i="35"/>
  <c r="AW22" i="9" l="1"/>
  <c r="AW24" i="9" s="1"/>
  <c r="AY12" i="34"/>
  <c r="AS51" i="51" s="1"/>
  <c r="AY21" i="31"/>
  <c r="AS36" i="51" s="1"/>
  <c r="BE82" i="20"/>
  <c r="BF15" i="31"/>
  <c r="AZ30" i="51" s="1"/>
  <c r="BG28" i="15"/>
  <c r="BF49" i="19"/>
  <c r="BF51" i="19" s="1"/>
  <c r="BF36" i="19" s="1"/>
  <c r="BG37" i="19" s="1"/>
  <c r="BF30" i="19"/>
  <c r="BF32" i="19" s="1"/>
  <c r="BG29" i="13"/>
  <c r="BF34" i="13"/>
  <c r="BF9" i="31" s="1"/>
  <c r="AZ24" i="51" s="1"/>
  <c r="BF46" i="18"/>
  <c r="BF47" i="18" s="1"/>
  <c r="BF42" i="18"/>
  <c r="BF33" i="18"/>
  <c r="BG10" i="37"/>
  <c r="BG24" i="12"/>
  <c r="BG26" i="12" s="1"/>
  <c r="BG31" i="12" s="1"/>
  <c r="BG33" i="12" s="1"/>
  <c r="BH20" i="10"/>
  <c r="BG16" i="19"/>
  <c r="BG17" i="19" s="1"/>
  <c r="BG42" i="15"/>
  <c r="BG20" i="15"/>
  <c r="BG25" i="11"/>
  <c r="BG16" i="37"/>
  <c r="BG63" i="12"/>
  <c r="BG65" i="12" s="1"/>
  <c r="BG71" i="12"/>
  <c r="BG73" i="12" s="1"/>
  <c r="AZ66" i="20"/>
  <c r="AZ68" i="20" s="1"/>
  <c r="BH14" i="16"/>
  <c r="BH28" i="16"/>
  <c r="BF39" i="16"/>
  <c r="BF40" i="16" s="1"/>
  <c r="AX12" i="9"/>
  <c r="AX13" i="9" s="1"/>
  <c r="BF14" i="20"/>
  <c r="BF15" i="20" s="1"/>
  <c r="BF20" i="20"/>
  <c r="BF21" i="20" s="1"/>
  <c r="BF34" i="20" s="1"/>
  <c r="AY23" i="9"/>
  <c r="W21" i="32"/>
  <c r="W12" i="35"/>
  <c r="BL18" i="34"/>
  <c r="BF57" i="51" s="1"/>
  <c r="BF13" i="28"/>
  <c r="AZ9" i="51" s="1"/>
  <c r="BF42" i="17"/>
  <c r="BF33" i="17"/>
  <c r="BF46" i="17"/>
  <c r="BF47" i="17" s="1"/>
  <c r="BF29" i="18"/>
  <c r="BF14" i="18"/>
  <c r="BE21" i="28"/>
  <c r="AY17" i="51" s="1"/>
  <c r="Y21" i="29"/>
  <c r="AY15" i="34" l="1"/>
  <c r="AS54" i="51" s="1"/>
  <c r="P21" i="33"/>
  <c r="BE22" i="28"/>
  <c r="AY18" i="51" s="1"/>
  <c r="BF14" i="28"/>
  <c r="AZ10" i="51" s="1"/>
  <c r="AW23" i="31"/>
  <c r="AQ38" i="51" s="1"/>
  <c r="AW15" i="22"/>
  <c r="AW17" i="22" s="1"/>
  <c r="AW21" i="22" s="1"/>
  <c r="AX11" i="31"/>
  <c r="AR26" i="51" s="1"/>
  <c r="AX9" i="8"/>
  <c r="AY11" i="9"/>
  <c r="BF48" i="18"/>
  <c r="BF34" i="18"/>
  <c r="BG21" i="19"/>
  <c r="BG43" i="15"/>
  <c r="BG45" i="15" s="1"/>
  <c r="BG21" i="15"/>
  <c r="BI22" i="15" s="1"/>
  <c r="BF32" i="16"/>
  <c r="BF45" i="16"/>
  <c r="BF46" i="16" s="1"/>
  <c r="BF41" i="16"/>
  <c r="BG17" i="37"/>
  <c r="BH70" i="12"/>
  <c r="BG17" i="11"/>
  <c r="BG18" i="11" s="1"/>
  <c r="BH28" i="10"/>
  <c r="BE37" i="9"/>
  <c r="BE38" i="9" s="1"/>
  <c r="Y22" i="29"/>
  <c r="BH20" i="34"/>
  <c r="BB59" i="51" s="1"/>
  <c r="Z20" i="35"/>
  <c r="BG15" i="37"/>
  <c r="BH60" i="12"/>
  <c r="BG11" i="37"/>
  <c r="BG20" i="17"/>
  <c r="BG22" i="17" s="1"/>
  <c r="BG13" i="15"/>
  <c r="BG14" i="15" s="1"/>
  <c r="BG48" i="12"/>
  <c r="BG50" i="12" s="1"/>
  <c r="BG21" i="13"/>
  <c r="BG24" i="13" s="1"/>
  <c r="BG39" i="12"/>
  <c r="BM41" i="12" s="1"/>
  <c r="BG17" i="9"/>
  <c r="BG18" i="9" s="1"/>
  <c r="BF19" i="31"/>
  <c r="AZ34" i="51" s="1"/>
  <c r="BG29" i="19"/>
  <c r="BG38" i="19"/>
  <c r="BG31" i="19"/>
  <c r="BF48" i="17"/>
  <c r="BF34" i="17"/>
  <c r="BF35" i="17" s="1"/>
  <c r="BF13" i="17" s="1"/>
  <c r="BF15" i="17" s="1"/>
  <c r="BF22" i="34"/>
  <c r="AZ61" i="51" s="1"/>
  <c r="BF25" i="20"/>
  <c r="BF27" i="20" s="1"/>
  <c r="BF39" i="20"/>
  <c r="AZ69" i="20"/>
  <c r="AZ77" i="20"/>
  <c r="AZ78" i="20" s="1"/>
  <c r="BF35" i="18"/>
  <c r="BF13" i="18" s="1"/>
  <c r="BF15" i="18" s="1"/>
  <c r="AY26" i="34"/>
  <c r="AS65" i="51" s="1"/>
  <c r="W15" i="35"/>
  <c r="BF16" i="28"/>
  <c r="AZ12" i="51" s="1"/>
  <c r="BF18" i="28"/>
  <c r="AZ14" i="51" s="1"/>
  <c r="AX12" i="31" l="1"/>
  <c r="AR27" i="51" s="1"/>
  <c r="BG10" i="31"/>
  <c r="BA25" i="51" s="1"/>
  <c r="BH41" i="15"/>
  <c r="BG8" i="28"/>
  <c r="BA4" i="51" s="1"/>
  <c r="BG19" i="16"/>
  <c r="BG21" i="16" s="1"/>
  <c r="BG26" i="11"/>
  <c r="BG27" i="11" s="1"/>
  <c r="BF16" i="31"/>
  <c r="AZ31" i="51" s="1"/>
  <c r="BG11" i="17"/>
  <c r="BH27" i="10"/>
  <c r="BH29" i="10" s="1"/>
  <c r="BF35" i="20"/>
  <c r="BF36" i="20" s="1"/>
  <c r="BG33" i="20" s="1"/>
  <c r="BF40" i="20"/>
  <c r="BF41" i="20" s="1"/>
  <c r="BF46" i="20" s="1"/>
  <c r="BF47" i="20" s="1"/>
  <c r="BF23" i="34"/>
  <c r="AZ62" i="51" s="1"/>
  <c r="BG29" i="15"/>
  <c r="BG10" i="12"/>
  <c r="BG11" i="12" s="1"/>
  <c r="BF17" i="28"/>
  <c r="AZ13" i="51" s="1"/>
  <c r="BF25" i="34"/>
  <c r="AZ64" i="51" s="1"/>
  <c r="BG8" i="31"/>
  <c r="BA23" i="51" s="1"/>
  <c r="BH20" i="13"/>
  <c r="BE25" i="31"/>
  <c r="AY40" i="51" s="1"/>
  <c r="BF36" i="9"/>
  <c r="BE28" i="9"/>
  <c r="BE30" i="9" s="1"/>
  <c r="M25" i="24"/>
  <c r="G40" i="50" s="1"/>
  <c r="Y25" i="32"/>
  <c r="Q25" i="33"/>
  <c r="BF47" i="16"/>
  <c r="BF33" i="16"/>
  <c r="BF34" i="16" s="1"/>
  <c r="BF13" i="16" s="1"/>
  <c r="BF15" i="16" s="1"/>
  <c r="BM13" i="37"/>
  <c r="BM20" i="18"/>
  <c r="BM22" i="18" s="1"/>
  <c r="BM49" i="12"/>
  <c r="BM61" i="12"/>
  <c r="AY29" i="34"/>
  <c r="AS68" i="51" s="1"/>
  <c r="W26" i="35"/>
  <c r="BG48" i="19"/>
  <c r="BG12" i="37"/>
  <c r="BH47" i="12"/>
  <c r="BG12" i="13"/>
  <c r="BG13" i="13" s="1"/>
  <c r="BF18" i="31"/>
  <c r="AZ33" i="51" s="1"/>
  <c r="BG11" i="18"/>
  <c r="BI8" i="34"/>
  <c r="BC47" i="51" s="1"/>
  <c r="BI44" i="15"/>
  <c r="AZ20" i="31"/>
  <c r="AT35" i="51" s="1"/>
  <c r="BA75" i="20"/>
  <c r="BG15" i="15"/>
  <c r="BG32" i="15"/>
  <c r="BG10" i="34"/>
  <c r="BA49" i="51" s="1"/>
  <c r="AZ11" i="34"/>
  <c r="AT50" i="51" s="1"/>
  <c r="BG17" i="34"/>
  <c r="BA56" i="51" s="1"/>
  <c r="BG12" i="17"/>
  <c r="BG27" i="17"/>
  <c r="BM28" i="17" s="1"/>
  <c r="BG11" i="28" l="1"/>
  <c r="BA7" i="51" s="1"/>
  <c r="AZ21" i="31"/>
  <c r="AT36" i="51" s="1"/>
  <c r="AZ12" i="34"/>
  <c r="AT51" i="51" s="1"/>
  <c r="BF19" i="28"/>
  <c r="AZ15" i="51" s="1"/>
  <c r="AX22" i="9"/>
  <c r="AX24" i="9" s="1"/>
  <c r="BG14" i="13"/>
  <c r="BG30" i="13"/>
  <c r="BG33" i="13" s="1"/>
  <c r="BH25" i="12"/>
  <c r="BG14" i="31"/>
  <c r="BA29" i="51" s="1"/>
  <c r="BH24" i="11"/>
  <c r="BE27" i="31"/>
  <c r="AY42" i="51" s="1"/>
  <c r="BE16" i="22"/>
  <c r="Q27" i="33"/>
  <c r="M27" i="24"/>
  <c r="G42" i="50" s="1"/>
  <c r="Y27" i="32"/>
  <c r="BH53" i="12"/>
  <c r="BH54" i="12" s="1"/>
  <c r="BH11" i="11"/>
  <c r="BH12" i="11" s="1"/>
  <c r="BH23" i="10"/>
  <c r="BH24" i="10" s="1"/>
  <c r="BG19" i="34"/>
  <c r="BA58" i="51" s="1"/>
  <c r="BG26" i="16"/>
  <c r="BI27" i="16" s="1"/>
  <c r="BG12" i="16"/>
  <c r="BF17" i="31"/>
  <c r="AZ32" i="51" s="1"/>
  <c r="BG11" i="16"/>
  <c r="BG9" i="19"/>
  <c r="BG11" i="19" s="1"/>
  <c r="BG22" i="19" s="1"/>
  <c r="BG23" i="19" s="1"/>
  <c r="BG30" i="15"/>
  <c r="BG36" i="15" s="1"/>
  <c r="BM21" i="34"/>
  <c r="BG60" i="51" s="1"/>
  <c r="BM12" i="18"/>
  <c r="BF76" i="20"/>
  <c r="BF48" i="20"/>
  <c r="BF81" i="20"/>
  <c r="BG9" i="20"/>
  <c r="BG10" i="20" s="1"/>
  <c r="BG14" i="34"/>
  <c r="BA53" i="51" s="1"/>
  <c r="BG27" i="18"/>
  <c r="BG28" i="18" s="1"/>
  <c r="BG40" i="18"/>
  <c r="BG41" i="18" s="1"/>
  <c r="BG40" i="17"/>
  <c r="BG41" i="17" s="1"/>
  <c r="BM29" i="17"/>
  <c r="BM14" i="17"/>
  <c r="BA66" i="20"/>
  <c r="BA68" i="20" s="1"/>
  <c r="BH11" i="13"/>
  <c r="AZ15" i="34"/>
  <c r="AT54" i="51" s="1"/>
  <c r="AY12" i="9"/>
  <c r="AY13" i="9" s="1"/>
  <c r="W29" i="35"/>
  <c r="BF24" i="34"/>
  <c r="AZ63" i="51" s="1"/>
  <c r="BG26" i="20"/>
  <c r="BF82" i="20" l="1"/>
  <c r="AZ23" i="9"/>
  <c r="AX23" i="31"/>
  <c r="AR38" i="51" s="1"/>
  <c r="AX15" i="22"/>
  <c r="AX17" i="22" s="1"/>
  <c r="AX21" i="22" s="1"/>
  <c r="BG15" i="31"/>
  <c r="BA30" i="51" s="1"/>
  <c r="BH28" i="15"/>
  <c r="BG29" i="18"/>
  <c r="BG14" i="18"/>
  <c r="BG14" i="20"/>
  <c r="BG15" i="20" s="1"/>
  <c r="BG20" i="20"/>
  <c r="BG21" i="20" s="1"/>
  <c r="BG34" i="20" s="1"/>
  <c r="BG34" i="13"/>
  <c r="BG9" i="31" s="1"/>
  <c r="BA24" i="51" s="1"/>
  <c r="BH29" i="13"/>
  <c r="BM18" i="34"/>
  <c r="BG57" i="51" s="1"/>
  <c r="BI28" i="16"/>
  <c r="BI14" i="16"/>
  <c r="BG13" i="28"/>
  <c r="BA9" i="51" s="1"/>
  <c r="BF21" i="28"/>
  <c r="AZ17" i="51" s="1"/>
  <c r="BG30" i="19"/>
  <c r="BG32" i="19" s="1"/>
  <c r="BG49" i="19"/>
  <c r="BG51" i="19" s="1"/>
  <c r="BG36" i="19" s="1"/>
  <c r="BH37" i="19" s="1"/>
  <c r="BG33" i="17"/>
  <c r="BG46" i="17"/>
  <c r="BG47" i="17" s="1"/>
  <c r="BG42" i="17"/>
  <c r="BG39" i="16"/>
  <c r="BG40" i="16" s="1"/>
  <c r="BH10" i="37"/>
  <c r="BH24" i="12"/>
  <c r="BH26" i="12" s="1"/>
  <c r="BH31" i="12" s="1"/>
  <c r="BH33" i="12" s="1"/>
  <c r="BI20" i="10"/>
  <c r="Z10" i="38"/>
  <c r="AZ26" i="34"/>
  <c r="AT65" i="51" s="1"/>
  <c r="BH16" i="19"/>
  <c r="BH17" i="19" s="1"/>
  <c r="BH42" i="15"/>
  <c r="BH20" i="15"/>
  <c r="BH25" i="11"/>
  <c r="AY11" i="31"/>
  <c r="AS26" i="51" s="1"/>
  <c r="AY9" i="8"/>
  <c r="AZ11" i="9"/>
  <c r="W11" i="32"/>
  <c r="P11" i="33"/>
  <c r="BA77" i="20"/>
  <c r="BA78" i="20" s="1"/>
  <c r="BA69" i="20"/>
  <c r="BH16" i="37"/>
  <c r="BH63" i="12"/>
  <c r="BH65" i="12" s="1"/>
  <c r="BH71" i="12"/>
  <c r="BH73" i="12" s="1"/>
  <c r="Z16" i="38"/>
  <c r="BG42" i="18"/>
  <c r="BG46" i="18"/>
  <c r="BG47" i="18" s="1"/>
  <c r="BG33" i="18"/>
  <c r="AY12" i="31" l="1"/>
  <c r="AS27" i="51" s="1"/>
  <c r="BF22" i="28"/>
  <c r="AZ18" i="51" s="1"/>
  <c r="BG14" i="28"/>
  <c r="BA10" i="51" s="1"/>
  <c r="BI28" i="10"/>
  <c r="BH11" i="37"/>
  <c r="BH20" i="17"/>
  <c r="BH22" i="17" s="1"/>
  <c r="BH21" i="13"/>
  <c r="BH24" i="13" s="1"/>
  <c r="BH13" i="15"/>
  <c r="BH14" i="15" s="1"/>
  <c r="BH48" i="12"/>
  <c r="BH50" i="12" s="1"/>
  <c r="BH39" i="12"/>
  <c r="BN41" i="12" s="1"/>
  <c r="BH17" i="9"/>
  <c r="BH18" i="9" s="1"/>
  <c r="Z11" i="38"/>
  <c r="BG19" i="31"/>
  <c r="BA34" i="51" s="1"/>
  <c r="BH29" i="19"/>
  <c r="BA20" i="31"/>
  <c r="AU35" i="51" s="1"/>
  <c r="BB75" i="20"/>
  <c r="BG39" i="20"/>
  <c r="BG25" i="20"/>
  <c r="BG27" i="20" s="1"/>
  <c r="BH17" i="37"/>
  <c r="BI70" i="12"/>
  <c r="BH17" i="11"/>
  <c r="BH18" i="11" s="1"/>
  <c r="Z17" i="38"/>
  <c r="BG32" i="16"/>
  <c r="BG45" i="16"/>
  <c r="BG46" i="16" s="1"/>
  <c r="BG41" i="16"/>
  <c r="BI20" i="34"/>
  <c r="BC59" i="51" s="1"/>
  <c r="BG18" i="28"/>
  <c r="BA14" i="51" s="1"/>
  <c r="BH15" i="37"/>
  <c r="BI60" i="12"/>
  <c r="Z15" i="38"/>
  <c r="AZ29" i="34"/>
  <c r="AT68" i="51" s="1"/>
  <c r="BG16" i="28"/>
  <c r="BA12" i="51" s="1"/>
  <c r="BG22" i="34"/>
  <c r="BA61" i="51" s="1"/>
  <c r="BH31" i="19"/>
  <c r="BH38" i="19"/>
  <c r="AY22" i="9"/>
  <c r="AY24" i="9" s="1"/>
  <c r="W12" i="32"/>
  <c r="P12" i="33"/>
  <c r="BG34" i="17"/>
  <c r="BG48" i="17"/>
  <c r="BH21" i="19"/>
  <c r="BH43" i="15"/>
  <c r="BH45" i="15" s="1"/>
  <c r="BH21" i="15"/>
  <c r="BJ22" i="15" s="1"/>
  <c r="BG48" i="18"/>
  <c r="BG34" i="18"/>
  <c r="BG35" i="18" s="1"/>
  <c r="BG13" i="18" s="1"/>
  <c r="BG15" i="18" s="1"/>
  <c r="BA11" i="34"/>
  <c r="AU50" i="51" s="1"/>
  <c r="BG35" i="17"/>
  <c r="BG13" i="17" s="1"/>
  <c r="BG15" i="17" s="1"/>
  <c r="BF37" i="9" l="1"/>
  <c r="BF38" i="9" s="1"/>
  <c r="BA12" i="34"/>
  <c r="AU51" i="51" s="1"/>
  <c r="BA21" i="31"/>
  <c r="AU36" i="51" s="1"/>
  <c r="BJ8" i="34"/>
  <c r="BD47" i="51" s="1"/>
  <c r="BJ44" i="15"/>
  <c r="BH10" i="31"/>
  <c r="BB25" i="51" s="1"/>
  <c r="BI41" i="15"/>
  <c r="Z10" i="32"/>
  <c r="BH8" i="31"/>
  <c r="BB23" i="51" s="1"/>
  <c r="BI20" i="13"/>
  <c r="Z8" i="32"/>
  <c r="BG18" i="31"/>
  <c r="BA33" i="51" s="1"/>
  <c r="BH11" i="18"/>
  <c r="AZ12" i="9"/>
  <c r="AZ13" i="9" s="1"/>
  <c r="BH8" i="28"/>
  <c r="BB4" i="51" s="1"/>
  <c r="BH19" i="16"/>
  <c r="BH21" i="16" s="1"/>
  <c r="BH26" i="11"/>
  <c r="BH27" i="11" s="1"/>
  <c r="Z8" i="29"/>
  <c r="BH17" i="34"/>
  <c r="BB56" i="51" s="1"/>
  <c r="BH12" i="17"/>
  <c r="BH27" i="17"/>
  <c r="BN28" i="17" s="1"/>
  <c r="Z17" i="35"/>
  <c r="BI27" i="10"/>
  <c r="BI29" i="10" s="1"/>
  <c r="BH29" i="15"/>
  <c r="BH10" i="12"/>
  <c r="BH11" i="12" s="1"/>
  <c r="BG16" i="31"/>
  <c r="BA31" i="51" s="1"/>
  <c r="BH11" i="17"/>
  <c r="AY23" i="31"/>
  <c r="AS38" i="51" s="1"/>
  <c r="AY15" i="22"/>
  <c r="AY17" i="22" s="1"/>
  <c r="AY21" i="22" s="1"/>
  <c r="W23" i="32"/>
  <c r="P23" i="33"/>
  <c r="BG25" i="34"/>
  <c r="BA64" i="51" s="1"/>
  <c r="BH10" i="34"/>
  <c r="BB49" i="51" s="1"/>
  <c r="Z10" i="35"/>
  <c r="BG17" i="28"/>
  <c r="BA13" i="51" s="1"/>
  <c r="BG40" i="20"/>
  <c r="BG41" i="20" s="1"/>
  <c r="BG46" i="20" s="1"/>
  <c r="BG47" i="20" s="1"/>
  <c r="BG35" i="20"/>
  <c r="BG36" i="20" s="1"/>
  <c r="BH33" i="20" s="1"/>
  <c r="BN13" i="37"/>
  <c r="BN20" i="18"/>
  <c r="BN22" i="18" s="1"/>
  <c r="BN49" i="12"/>
  <c r="BN61" i="12"/>
  <c r="AB13" i="38"/>
  <c r="BF25" i="31"/>
  <c r="AZ40" i="51" s="1"/>
  <c r="BF28" i="9"/>
  <c r="BF30" i="9" s="1"/>
  <c r="BG36" i="9"/>
  <c r="BG23" i="34"/>
  <c r="BA62" i="51" s="1"/>
  <c r="BG47" i="16"/>
  <c r="BG33" i="16"/>
  <c r="BG34" i="16" s="1"/>
  <c r="BG13" i="16" s="1"/>
  <c r="BG15" i="16" s="1"/>
  <c r="BH48" i="19"/>
  <c r="BH12" i="37"/>
  <c r="BH12" i="13"/>
  <c r="BH13" i="13" s="1"/>
  <c r="BI47" i="12"/>
  <c r="Z12" i="38"/>
  <c r="BA15" i="34"/>
  <c r="AU54" i="51" s="1"/>
  <c r="BB66" i="20"/>
  <c r="BB68" i="20" s="1"/>
  <c r="BH32" i="15"/>
  <c r="BH15" i="15"/>
  <c r="BH11" i="28" l="1"/>
  <c r="BB7" i="51" s="1"/>
  <c r="BG19" i="28"/>
  <c r="BA15" i="51" s="1"/>
  <c r="BA23" i="9"/>
  <c r="BB77" i="20"/>
  <c r="BB78" i="20" s="1"/>
  <c r="BB69" i="20"/>
  <c r="BN14" i="17"/>
  <c r="BN29" i="17"/>
  <c r="BH9" i="20"/>
  <c r="BH10" i="20" s="1"/>
  <c r="Z11" i="29"/>
  <c r="BN21" i="34"/>
  <c r="BH60" i="51" s="1"/>
  <c r="BN12" i="18"/>
  <c r="AB21" i="35"/>
  <c r="BG17" i="31"/>
  <c r="BA32" i="51" s="1"/>
  <c r="BH11" i="16"/>
  <c r="BI53" i="12"/>
  <c r="BI54" i="12" s="1"/>
  <c r="BI11" i="11"/>
  <c r="BI12" i="11" s="1"/>
  <c r="BI23" i="10"/>
  <c r="BI24" i="10" s="1"/>
  <c r="BG81" i="20"/>
  <c r="BG76" i="20"/>
  <c r="BG48" i="20"/>
  <c r="BF27" i="31"/>
  <c r="AZ42" i="51" s="1"/>
  <c r="BF16" i="22"/>
  <c r="BH26" i="20"/>
  <c r="AZ11" i="31"/>
  <c r="AT26" i="51" s="1"/>
  <c r="BA11" i="9"/>
  <c r="AZ9" i="8"/>
  <c r="BA26" i="34"/>
  <c r="AU65" i="51" s="1"/>
  <c r="BH40" i="18"/>
  <c r="BH41" i="18" s="1"/>
  <c r="BH27" i="18"/>
  <c r="BH28" i="18" s="1"/>
  <c r="BH40" i="17"/>
  <c r="BH41" i="17" s="1"/>
  <c r="BI25" i="12"/>
  <c r="BH14" i="31"/>
  <c r="BB29" i="51" s="1"/>
  <c r="BI24" i="11"/>
  <c r="Z14" i="32"/>
  <c r="BH14" i="34"/>
  <c r="BB53" i="51" s="1"/>
  <c r="Z14" i="35"/>
  <c r="BG24" i="34"/>
  <c r="BA63" i="51" s="1"/>
  <c r="BH14" i="13"/>
  <c r="BH30" i="13"/>
  <c r="BH33" i="13" s="1"/>
  <c r="BH9" i="19"/>
  <c r="BH11" i="19" s="1"/>
  <c r="BH22" i="19" s="1"/>
  <c r="BH23" i="19" s="1"/>
  <c r="BH30" i="15"/>
  <c r="BH36" i="15" s="1"/>
  <c r="BH19" i="34"/>
  <c r="BB58" i="51" s="1"/>
  <c r="BH26" i="16"/>
  <c r="BJ27" i="16" s="1"/>
  <c r="BH12" i="16"/>
  <c r="Z19" i="35"/>
  <c r="BI11" i="13"/>
  <c r="BG82" i="20" l="1"/>
  <c r="AZ12" i="31"/>
  <c r="AT27" i="51" s="1"/>
  <c r="BH15" i="31"/>
  <c r="BB30" i="51" s="1"/>
  <c r="BI28" i="15"/>
  <c r="Z15" i="32"/>
  <c r="BA29" i="34"/>
  <c r="AU68" i="51" s="1"/>
  <c r="BG21" i="28"/>
  <c r="BA17" i="51" s="1"/>
  <c r="BB11" i="34"/>
  <c r="AV50" i="51" s="1"/>
  <c r="X11" i="35"/>
  <c r="BH13" i="28"/>
  <c r="BB9" i="51" s="1"/>
  <c r="Z13" i="29"/>
  <c r="BH33" i="17"/>
  <c r="BH46" i="17"/>
  <c r="BH47" i="17" s="1"/>
  <c r="BH42" i="17"/>
  <c r="BH39" i="16"/>
  <c r="BH40" i="16" s="1"/>
  <c r="BB20" i="31"/>
  <c r="AV35" i="51" s="1"/>
  <c r="BC75" i="20"/>
  <c r="X20" i="32"/>
  <c r="BH20" i="20"/>
  <c r="BH21" i="20" s="1"/>
  <c r="BH34" i="20" s="1"/>
  <c r="BH14" i="20"/>
  <c r="BH15" i="20" s="1"/>
  <c r="BH14" i="18"/>
  <c r="BH29" i="18"/>
  <c r="BH46" i="18"/>
  <c r="BH47" i="18" s="1"/>
  <c r="BH42" i="18"/>
  <c r="BH33" i="18"/>
  <c r="BI10" i="37"/>
  <c r="BI24" i="12"/>
  <c r="BI26" i="12" s="1"/>
  <c r="BI31" i="12" s="1"/>
  <c r="BI33" i="12" s="1"/>
  <c r="BJ20" i="10"/>
  <c r="BJ14" i="16"/>
  <c r="BJ28" i="16"/>
  <c r="BI16" i="19"/>
  <c r="BI17" i="19" s="1"/>
  <c r="BI42" i="15"/>
  <c r="BI20" i="15"/>
  <c r="BI25" i="11"/>
  <c r="BN18" i="34"/>
  <c r="BH57" i="51" s="1"/>
  <c r="AB18" i="35"/>
  <c r="BH30" i="19"/>
  <c r="BH32" i="19" s="1"/>
  <c r="BH49" i="19"/>
  <c r="BH51" i="19" s="1"/>
  <c r="BH36" i="19" s="1"/>
  <c r="BI37" i="19" s="1"/>
  <c r="BH34" i="13"/>
  <c r="BI29" i="13"/>
  <c r="BI16" i="37"/>
  <c r="BI71" i="12"/>
  <c r="BI73" i="12" s="1"/>
  <c r="BI63" i="12"/>
  <c r="BI65" i="12" s="1"/>
  <c r="BB21" i="31" l="1"/>
  <c r="AV36" i="51" s="1"/>
  <c r="BB12" i="34"/>
  <c r="AV51" i="51" s="1"/>
  <c r="BG22" i="28"/>
  <c r="BA18" i="51" s="1"/>
  <c r="BH14" i="28"/>
  <c r="BB10" i="51" s="1"/>
  <c r="AZ22" i="9"/>
  <c r="AZ24" i="9" s="1"/>
  <c r="BB23" i="9"/>
  <c r="X21" i="32"/>
  <c r="BG37" i="9"/>
  <c r="BG38" i="9" s="1"/>
  <c r="BJ28" i="10"/>
  <c r="BH32" i="16"/>
  <c r="BH45" i="16"/>
  <c r="BH46" i="16" s="1"/>
  <c r="BH41" i="16"/>
  <c r="BI11" i="37"/>
  <c r="BI20" i="17"/>
  <c r="BI22" i="17" s="1"/>
  <c r="BI13" i="15"/>
  <c r="BI14" i="15" s="1"/>
  <c r="BI21" i="13"/>
  <c r="BI24" i="13" s="1"/>
  <c r="BI39" i="12"/>
  <c r="BO41" i="12" s="1"/>
  <c r="BI48" i="12"/>
  <c r="BI50" i="12" s="1"/>
  <c r="BI17" i="9"/>
  <c r="BI18" i="9" s="1"/>
  <c r="BH39" i="20"/>
  <c r="BH25" i="20"/>
  <c r="BH27" i="20" s="1"/>
  <c r="BH16" i="28"/>
  <c r="BB12" i="51" s="1"/>
  <c r="Z16" i="29"/>
  <c r="BA12" i="9"/>
  <c r="BA13" i="9" s="1"/>
  <c r="BI38" i="19"/>
  <c r="BI31" i="19"/>
  <c r="BI21" i="19"/>
  <c r="BI21" i="15"/>
  <c r="BK22" i="15" s="1"/>
  <c r="BI43" i="15"/>
  <c r="BI45" i="15" s="1"/>
  <c r="BH19" i="31"/>
  <c r="BB34" i="51" s="1"/>
  <c r="BI29" i="19"/>
  <c r="Z19" i="32"/>
  <c r="BH48" i="17"/>
  <c r="BH34" i="17"/>
  <c r="BH35" i="17" s="1"/>
  <c r="BH13" i="17" s="1"/>
  <c r="BH15" i="17" s="1"/>
  <c r="BB15" i="34"/>
  <c r="AV54" i="51" s="1"/>
  <c r="X12" i="35"/>
  <c r="BJ20" i="34"/>
  <c r="BD59" i="51" s="1"/>
  <c r="BH18" i="28"/>
  <c r="BB14" i="51" s="1"/>
  <c r="Z18" i="29"/>
  <c r="BH34" i="18"/>
  <c r="BH35" i="18" s="1"/>
  <c r="BH13" i="18" s="1"/>
  <c r="BH15" i="18" s="1"/>
  <c r="BH48" i="18"/>
  <c r="BH9" i="31"/>
  <c r="BB24" i="51" s="1"/>
  <c r="Z9" i="32"/>
  <c r="BI15" i="37"/>
  <c r="BJ60" i="12"/>
  <c r="BI17" i="37"/>
  <c r="BJ70" i="12"/>
  <c r="BI17" i="11"/>
  <c r="BI18" i="11" s="1"/>
  <c r="BH22" i="34"/>
  <c r="BB61" i="51" s="1"/>
  <c r="Z22" i="35"/>
  <c r="BC66" i="20"/>
  <c r="BC68" i="20" s="1"/>
  <c r="Z14" i="29" l="1"/>
  <c r="AZ23" i="31"/>
  <c r="AT38" i="51" s="1"/>
  <c r="AZ15" i="22"/>
  <c r="AZ17" i="22" s="1"/>
  <c r="AZ21" i="22" s="1"/>
  <c r="BH18" i="31"/>
  <c r="BB33" i="51" s="1"/>
  <c r="BI11" i="18"/>
  <c r="Z18" i="32"/>
  <c r="BH23" i="34"/>
  <c r="BB62" i="51" s="1"/>
  <c r="Z23" i="35"/>
  <c r="BI29" i="15"/>
  <c r="BI10" i="12"/>
  <c r="BI11" i="12" s="1"/>
  <c r="BH33" i="16"/>
  <c r="BH34" i="16" s="1"/>
  <c r="BH13" i="16" s="1"/>
  <c r="BH15" i="16" s="1"/>
  <c r="BH47" i="16"/>
  <c r="BH25" i="34"/>
  <c r="BB64" i="51" s="1"/>
  <c r="Z25" i="35"/>
  <c r="BI12" i="37"/>
  <c r="BI12" i="13"/>
  <c r="BI13" i="13" s="1"/>
  <c r="BJ47" i="12"/>
  <c r="BI8" i="28"/>
  <c r="BC4" i="51" s="1"/>
  <c r="BI19" i="16"/>
  <c r="BI21" i="16" s="1"/>
  <c r="BI26" i="11"/>
  <c r="BI27" i="11" s="1"/>
  <c r="BI10" i="34"/>
  <c r="BC49" i="51" s="1"/>
  <c r="BO13" i="37"/>
  <c r="BO20" i="18"/>
  <c r="BO22" i="18" s="1"/>
  <c r="BO61" i="12"/>
  <c r="BO49" i="12"/>
  <c r="BI10" i="31"/>
  <c r="BC25" i="51" s="1"/>
  <c r="BJ41" i="15"/>
  <c r="BH40" i="20"/>
  <c r="BH35" i="20"/>
  <c r="BH36" i="20" s="1"/>
  <c r="BI33" i="20" s="1"/>
  <c r="BI8" i="31"/>
  <c r="BC23" i="51" s="1"/>
  <c r="BJ20" i="13"/>
  <c r="BK8" i="34"/>
  <c r="BE47" i="51" s="1"/>
  <c r="BK44" i="15"/>
  <c r="AA8" i="35"/>
  <c r="BI48" i="19"/>
  <c r="BH41" i="20"/>
  <c r="BH46" i="20" s="1"/>
  <c r="BH47" i="20" s="1"/>
  <c r="BI15" i="15"/>
  <c r="BI32" i="15"/>
  <c r="BG25" i="31"/>
  <c r="BA40" i="51" s="1"/>
  <c r="BG28" i="9"/>
  <c r="BG30" i="9" s="1"/>
  <c r="BH36" i="9"/>
  <c r="BJ27" i="10"/>
  <c r="BJ29" i="10" s="1"/>
  <c r="BI17" i="34"/>
  <c r="BC56" i="51" s="1"/>
  <c r="BI27" i="17"/>
  <c r="BO28" i="17" s="1"/>
  <c r="BI12" i="17"/>
  <c r="BC69" i="20"/>
  <c r="BC77" i="20"/>
  <c r="BC78" i="20" s="1"/>
  <c r="BH16" i="31"/>
  <c r="BB31" i="51" s="1"/>
  <c r="BI11" i="17"/>
  <c r="Z16" i="32"/>
  <c r="BB26" i="34"/>
  <c r="AV65" i="51" s="1"/>
  <c r="X15" i="35"/>
  <c r="BA11" i="31"/>
  <c r="AU26" i="51" s="1"/>
  <c r="BB11" i="9"/>
  <c r="BA9" i="8"/>
  <c r="BH17" i="28"/>
  <c r="BB13" i="51" s="1"/>
  <c r="Z17" i="29"/>
  <c r="BH19" i="28" l="1"/>
  <c r="BB15" i="51" s="1"/>
  <c r="BA12" i="31"/>
  <c r="AU27" i="51" s="1"/>
  <c r="BI11" i="28"/>
  <c r="BC7" i="51" s="1"/>
  <c r="BH82" i="20"/>
  <c r="Z19" i="29"/>
  <c r="BI19" i="34"/>
  <c r="BC58" i="51" s="1"/>
  <c r="BI12" i="16"/>
  <c r="BI26" i="16"/>
  <c r="BK27" i="16" s="1"/>
  <c r="BG27" i="31"/>
  <c r="BA42" i="51" s="1"/>
  <c r="BG16" i="22"/>
  <c r="BH17" i="31"/>
  <c r="BB32" i="51" s="1"/>
  <c r="BI11" i="16"/>
  <c r="Z17" i="32"/>
  <c r="BJ25" i="12"/>
  <c r="BH24" i="34"/>
  <c r="BB63" i="51" s="1"/>
  <c r="Z24" i="35"/>
  <c r="BI40" i="17"/>
  <c r="BI41" i="17" s="1"/>
  <c r="BO14" i="17"/>
  <c r="BO29" i="17"/>
  <c r="BJ11" i="13"/>
  <c r="BI30" i="13"/>
  <c r="BI33" i="13" s="1"/>
  <c r="BI14" i="13"/>
  <c r="BB29" i="34"/>
  <c r="AV68" i="51" s="1"/>
  <c r="X26" i="35"/>
  <c r="BI14" i="34"/>
  <c r="BC53" i="51" s="1"/>
  <c r="BI9" i="19"/>
  <c r="BI11" i="19" s="1"/>
  <c r="BI22" i="19" s="1"/>
  <c r="BI23" i="19" s="1"/>
  <c r="BI30" i="15"/>
  <c r="BI36" i="15" s="1"/>
  <c r="BH76" i="20"/>
  <c r="BH81" i="20"/>
  <c r="BH48" i="20"/>
  <c r="BI26" i="20"/>
  <c r="BO21" i="34"/>
  <c r="BI60" i="51" s="1"/>
  <c r="BO12" i="18"/>
  <c r="BI27" i="18"/>
  <c r="BI28" i="18" s="1"/>
  <c r="BI40" i="18"/>
  <c r="BI41" i="18" s="1"/>
  <c r="BC20" i="31"/>
  <c r="AW35" i="51" s="1"/>
  <c r="BD75" i="20"/>
  <c r="BC11" i="34"/>
  <c r="AW50" i="51" s="1"/>
  <c r="BJ11" i="11"/>
  <c r="BJ12" i="11" s="1"/>
  <c r="BJ53" i="12"/>
  <c r="BJ54" i="12" s="1"/>
  <c r="BJ23" i="10"/>
  <c r="BJ24" i="10" s="1"/>
  <c r="BI14" i="31"/>
  <c r="BC29" i="51" s="1"/>
  <c r="BJ24" i="11"/>
  <c r="BI9" i="20" l="1"/>
  <c r="BI10" i="20" s="1"/>
  <c r="BC12" i="34"/>
  <c r="AW51" i="51" s="1"/>
  <c r="BA22" i="9"/>
  <c r="BA24" i="9" s="1"/>
  <c r="BC21" i="31"/>
  <c r="AW36" i="51" s="1"/>
  <c r="BJ16" i="37"/>
  <c r="BJ71" i="12"/>
  <c r="BJ73" i="12" s="1"/>
  <c r="BJ63" i="12"/>
  <c r="BJ65" i="12" s="1"/>
  <c r="BI46" i="18"/>
  <c r="BI47" i="18" s="1"/>
  <c r="BI33" i="18"/>
  <c r="BI42" i="18"/>
  <c r="BI46" i="17"/>
  <c r="BI47" i="17" s="1"/>
  <c r="BI42" i="17"/>
  <c r="BI33" i="17"/>
  <c r="BI13" i="28"/>
  <c r="BC9" i="51" s="1"/>
  <c r="BI14" i="20"/>
  <c r="BI15" i="20" s="1"/>
  <c r="BI20" i="20"/>
  <c r="BI21" i="20" s="1"/>
  <c r="BI34" i="20" s="1"/>
  <c r="BI14" i="18"/>
  <c r="BI29" i="18"/>
  <c r="BH21" i="28"/>
  <c r="BB17" i="51" s="1"/>
  <c r="Z21" i="29"/>
  <c r="BC15" i="34"/>
  <c r="AW54" i="51" s="1"/>
  <c r="BI15" i="31"/>
  <c r="BC30" i="51" s="1"/>
  <c r="BJ28" i="15"/>
  <c r="BJ29" i="13"/>
  <c r="BI34" i="13"/>
  <c r="BI9" i="31" s="1"/>
  <c r="BC24" i="51" s="1"/>
  <c r="BI39" i="16"/>
  <c r="BI40" i="16" s="1"/>
  <c r="BJ10" i="37"/>
  <c r="BJ24" i="12"/>
  <c r="BJ26" i="12" s="1"/>
  <c r="BJ31" i="12" s="1"/>
  <c r="BJ33" i="12" s="1"/>
  <c r="BK20" i="10"/>
  <c r="BD66" i="20"/>
  <c r="BD68" i="20" s="1"/>
  <c r="BO18" i="34"/>
  <c r="BI57" i="51" s="1"/>
  <c r="BI30" i="19"/>
  <c r="BI32" i="19" s="1"/>
  <c r="BI49" i="19"/>
  <c r="BI51" i="19" s="1"/>
  <c r="BI36" i="19" s="1"/>
  <c r="BJ37" i="19" s="1"/>
  <c r="BK28" i="16"/>
  <c r="BK14" i="16"/>
  <c r="BJ16" i="19"/>
  <c r="BJ17" i="19" s="1"/>
  <c r="BJ20" i="15"/>
  <c r="BJ42" i="15"/>
  <c r="BJ25" i="11"/>
  <c r="BB12" i="9"/>
  <c r="BB13" i="9" s="1"/>
  <c r="X29" i="35"/>
  <c r="BC23" i="9" l="1"/>
  <c r="BH22" i="28"/>
  <c r="BB18" i="51" s="1"/>
  <c r="BA23" i="31"/>
  <c r="AU38" i="51" s="1"/>
  <c r="BA15" i="22"/>
  <c r="BA17" i="22" s="1"/>
  <c r="BA21" i="22" s="1"/>
  <c r="BI14" i="28"/>
  <c r="BC10" i="51" s="1"/>
  <c r="BI48" i="17"/>
  <c r="BI34" i="17"/>
  <c r="BI35" i="17" s="1"/>
  <c r="BI13" i="17" s="1"/>
  <c r="BI15" i="17" s="1"/>
  <c r="BJ21" i="19"/>
  <c r="BJ43" i="15"/>
  <c r="BJ21" i="15"/>
  <c r="BL22" i="15" s="1"/>
  <c r="BC26" i="34"/>
  <c r="AW65" i="51" s="1"/>
  <c r="BI25" i="20"/>
  <c r="BI27" i="20" s="1"/>
  <c r="BI39" i="20"/>
  <c r="BI18" i="28"/>
  <c r="BC14" i="51" s="1"/>
  <c r="BI32" i="16"/>
  <c r="BI45" i="16"/>
  <c r="BI46" i="16" s="1"/>
  <c r="BI41" i="16"/>
  <c r="BK28" i="10"/>
  <c r="BI34" i="18"/>
  <c r="BI35" i="18" s="1"/>
  <c r="BI13" i="18" s="1"/>
  <c r="BI15" i="18" s="1"/>
  <c r="BI48" i="18"/>
  <c r="BK20" i="34"/>
  <c r="BE59" i="51" s="1"/>
  <c r="AA20" i="35"/>
  <c r="BJ11" i="37"/>
  <c r="BJ20" i="17"/>
  <c r="BJ22" i="17" s="1"/>
  <c r="BJ13" i="15"/>
  <c r="BJ14" i="15" s="1"/>
  <c r="BJ21" i="13"/>
  <c r="BJ24" i="13" s="1"/>
  <c r="BJ39" i="12"/>
  <c r="BP41" i="12" s="1"/>
  <c r="BJ48" i="12"/>
  <c r="BJ50" i="12" s="1"/>
  <c r="BJ17" i="9"/>
  <c r="BJ18" i="9" s="1"/>
  <c r="BD77" i="20"/>
  <c r="BD78" i="20" s="1"/>
  <c r="BD69" i="20"/>
  <c r="BJ38" i="19"/>
  <c r="BJ31" i="19"/>
  <c r="BB11" i="31"/>
  <c r="AV26" i="51" s="1"/>
  <c r="BB9" i="8"/>
  <c r="BC11" i="9"/>
  <c r="X11" i="32"/>
  <c r="BI19" i="31"/>
  <c r="BC34" i="51" s="1"/>
  <c r="BJ29" i="19"/>
  <c r="BH37" i="9"/>
  <c r="BH38" i="9" s="1"/>
  <c r="Z22" i="29"/>
  <c r="BJ15" i="37"/>
  <c r="BK60" i="12"/>
  <c r="BI22" i="34"/>
  <c r="BC61" i="51" s="1"/>
  <c r="BJ17" i="37"/>
  <c r="BK70" i="12"/>
  <c r="BJ17" i="11"/>
  <c r="BJ18" i="11" s="1"/>
  <c r="BJ45" i="15"/>
  <c r="BI16" i="28"/>
  <c r="BC12" i="51" s="1"/>
  <c r="BB12" i="31" l="1"/>
  <c r="AV27" i="51" s="1"/>
  <c r="BI18" i="31"/>
  <c r="BC33" i="51" s="1"/>
  <c r="BJ11" i="18"/>
  <c r="BL8" i="34"/>
  <c r="BF47" i="51" s="1"/>
  <c r="BL44" i="15"/>
  <c r="BP13" i="37"/>
  <c r="BP20" i="18"/>
  <c r="BP22" i="18" s="1"/>
  <c r="BP61" i="12"/>
  <c r="BP49" i="12"/>
  <c r="BC29" i="34"/>
  <c r="AW68" i="51" s="1"/>
  <c r="BJ8" i="31"/>
  <c r="BD23" i="51" s="1"/>
  <c r="BK20" i="13"/>
  <c r="BJ48" i="19"/>
  <c r="BJ10" i="34"/>
  <c r="BD49" i="51" s="1"/>
  <c r="BJ15" i="15"/>
  <c r="BJ32" i="15"/>
  <c r="BD11" i="34"/>
  <c r="AX50" i="51" s="1"/>
  <c r="BJ17" i="34"/>
  <c r="BD56" i="51" s="1"/>
  <c r="BJ12" i="17"/>
  <c r="BJ27" i="17"/>
  <c r="BP28" i="17" s="1"/>
  <c r="BD20" i="31"/>
  <c r="AX35" i="51" s="1"/>
  <c r="BE75" i="20"/>
  <c r="BH25" i="31"/>
  <c r="BB40" i="51" s="1"/>
  <c r="BH28" i="9"/>
  <c r="BH30" i="9" s="1"/>
  <c r="BI36" i="9"/>
  <c r="Z25" i="32"/>
  <c r="BI16" i="31"/>
  <c r="BC31" i="51" s="1"/>
  <c r="BJ11" i="17"/>
  <c r="BI17" i="28"/>
  <c r="BC13" i="51" s="1"/>
  <c r="BI40" i="20"/>
  <c r="BI41" i="20" s="1"/>
  <c r="BI46" i="20" s="1"/>
  <c r="BI47" i="20" s="1"/>
  <c r="BI35" i="20"/>
  <c r="BI36" i="20" s="1"/>
  <c r="BJ33" i="20" s="1"/>
  <c r="BI23" i="34"/>
  <c r="BC62" i="51" s="1"/>
  <c r="BJ8" i="28"/>
  <c r="BD4" i="51" s="1"/>
  <c r="BJ19" i="16"/>
  <c r="BJ21" i="16" s="1"/>
  <c r="BJ26" i="11"/>
  <c r="BJ27" i="11" s="1"/>
  <c r="BJ10" i="31"/>
  <c r="BD25" i="51" s="1"/>
  <c r="BK41" i="15"/>
  <c r="BJ29" i="15"/>
  <c r="BJ10" i="12"/>
  <c r="BJ11" i="12" s="1"/>
  <c r="BI33" i="16"/>
  <c r="BI34" i="16" s="1"/>
  <c r="BI13" i="16" s="1"/>
  <c r="BI15" i="16" s="1"/>
  <c r="BI47" i="16"/>
  <c r="BK27" i="10"/>
  <c r="BK29" i="10" s="1"/>
  <c r="BB22" i="9"/>
  <c r="BB24" i="9" s="1"/>
  <c r="X12" i="32"/>
  <c r="BJ12" i="37"/>
  <c r="BJ12" i="13"/>
  <c r="BJ13" i="13" s="1"/>
  <c r="BK47" i="12"/>
  <c r="BI25" i="34"/>
  <c r="BC64" i="51" s="1"/>
  <c r="BD21" i="31" l="1"/>
  <c r="AX36" i="51" s="1"/>
  <c r="BJ11" i="28"/>
  <c r="BD7" i="51" s="1"/>
  <c r="BD12" i="34"/>
  <c r="AX51" i="51" s="1"/>
  <c r="BI19" i="28"/>
  <c r="BC15" i="51" s="1"/>
  <c r="BI48" i="20"/>
  <c r="BI81" i="20"/>
  <c r="BI76" i="20"/>
  <c r="BI17" i="31"/>
  <c r="BC32" i="51" s="1"/>
  <c r="BJ11" i="16"/>
  <c r="BB23" i="31"/>
  <c r="AV38" i="51" s="1"/>
  <c r="BB15" i="22"/>
  <c r="BB17" i="22" s="1"/>
  <c r="BB21" i="22" s="1"/>
  <c r="X23" i="32"/>
  <c r="BJ40" i="17"/>
  <c r="BJ41" i="17" s="1"/>
  <c r="BD15" i="34"/>
  <c r="AX54" i="51" s="1"/>
  <c r="BJ26" i="20"/>
  <c r="BK53" i="12"/>
  <c r="BK54" i="12" s="1"/>
  <c r="BK11" i="11"/>
  <c r="BK12" i="11" s="1"/>
  <c r="BK23" i="10"/>
  <c r="BK24" i="10" s="1"/>
  <c r="BJ14" i="31"/>
  <c r="BD29" i="51" s="1"/>
  <c r="BK24" i="11"/>
  <c r="BJ14" i="34"/>
  <c r="BD53" i="51" s="1"/>
  <c r="BJ19" i="34"/>
  <c r="BD58" i="51" s="1"/>
  <c r="BJ26" i="16"/>
  <c r="BL27" i="16" s="1"/>
  <c r="BJ12" i="16"/>
  <c r="BC12" i="9"/>
  <c r="BC13" i="9" s="1"/>
  <c r="BI24" i="34"/>
  <c r="BC63" i="51" s="1"/>
  <c r="BK25" i="12"/>
  <c r="BJ9" i="20"/>
  <c r="BJ10" i="20" s="1"/>
  <c r="BH27" i="31"/>
  <c r="BB42" i="51" s="1"/>
  <c r="BH16" i="22"/>
  <c r="Z27" i="32"/>
  <c r="BP14" i="17"/>
  <c r="BP29" i="17"/>
  <c r="BJ30" i="13"/>
  <c r="BJ33" i="13" s="1"/>
  <c r="BJ14" i="13"/>
  <c r="BJ9" i="19"/>
  <c r="BJ11" i="19" s="1"/>
  <c r="BJ22" i="19" s="1"/>
  <c r="BJ23" i="19" s="1"/>
  <c r="BJ30" i="15"/>
  <c r="BJ36" i="15"/>
  <c r="BJ27" i="18"/>
  <c r="BJ28" i="18" s="1"/>
  <c r="BJ40" i="18"/>
  <c r="BJ41" i="18" s="1"/>
  <c r="BE66" i="20"/>
  <c r="BE68" i="20" s="1"/>
  <c r="BK11" i="13"/>
  <c r="BP21" i="34"/>
  <c r="BJ60" i="51" s="1"/>
  <c r="BP12" i="18"/>
  <c r="BI82" i="20" l="1"/>
  <c r="BD23" i="9"/>
  <c r="BJ49" i="19"/>
  <c r="BJ51" i="19" s="1"/>
  <c r="BJ36" i="19" s="1"/>
  <c r="BK37" i="19" s="1"/>
  <c r="BJ30" i="19"/>
  <c r="BJ32" i="19" s="1"/>
  <c r="BK16" i="19"/>
  <c r="BK17" i="19" s="1"/>
  <c r="BK42" i="15"/>
  <c r="BK20" i="15"/>
  <c r="BK25" i="11"/>
  <c r="BJ42" i="17"/>
  <c r="BJ46" i="17"/>
  <c r="BJ47" i="17" s="1"/>
  <c r="BJ33" i="17"/>
  <c r="BJ13" i="28"/>
  <c r="BD9" i="51" s="1"/>
  <c r="BK16" i="37"/>
  <c r="BK71" i="12"/>
  <c r="BK73" i="12" s="1"/>
  <c r="BK63" i="12"/>
  <c r="BK65" i="12" s="1"/>
  <c r="AA16" i="38"/>
  <c r="BJ14" i="20"/>
  <c r="BJ15" i="20" s="1"/>
  <c r="BJ20" i="20"/>
  <c r="BJ21" i="20" s="1"/>
  <c r="BJ34" i="20" s="1"/>
  <c r="BJ29" i="18"/>
  <c r="BJ14" i="18"/>
  <c r="BP18" i="34"/>
  <c r="BJ57" i="51" s="1"/>
  <c r="BC11" i="31"/>
  <c r="AW26" i="51" s="1"/>
  <c r="BD11" i="9"/>
  <c r="BC9" i="8"/>
  <c r="BL28" i="16"/>
  <c r="BL14" i="16"/>
  <c r="BJ34" i="13"/>
  <c r="BJ9" i="31" s="1"/>
  <c r="BD24" i="51" s="1"/>
  <c r="BK29" i="13"/>
  <c r="BJ46" i="18"/>
  <c r="BJ47" i="18" s="1"/>
  <c r="BJ33" i="18"/>
  <c r="BJ42" i="18"/>
  <c r="BJ15" i="31"/>
  <c r="BD30" i="51" s="1"/>
  <c r="BK28" i="15"/>
  <c r="BJ39" i="16"/>
  <c r="BJ40" i="16" s="1"/>
  <c r="BE77" i="20"/>
  <c r="BE78" i="20" s="1"/>
  <c r="BE69" i="20"/>
  <c r="BK10" i="37"/>
  <c r="BK24" i="12"/>
  <c r="BK26" i="12" s="1"/>
  <c r="BK31" i="12" s="1"/>
  <c r="BK33" i="12" s="1"/>
  <c r="BL20" i="10"/>
  <c r="AA10" i="38"/>
  <c r="R10" i="39"/>
  <c r="BD26" i="34"/>
  <c r="AX65" i="51" s="1"/>
  <c r="BI21" i="28"/>
  <c r="BC17" i="51" s="1"/>
  <c r="BJ14" i="28" l="1"/>
  <c r="BD10" i="51" s="1"/>
  <c r="BC12" i="31"/>
  <c r="AW27" i="51" s="1"/>
  <c r="BI22" i="28"/>
  <c r="BC18" i="51" s="1"/>
  <c r="BJ18" i="28"/>
  <c r="BD14" i="51" s="1"/>
  <c r="BJ25" i="20"/>
  <c r="BJ27" i="20" s="1"/>
  <c r="BJ39" i="20"/>
  <c r="BJ48" i="17"/>
  <c r="BJ34" i="17"/>
  <c r="BJ35" i="17" s="1"/>
  <c r="BJ13" i="17" s="1"/>
  <c r="BJ15" i="17" s="1"/>
  <c r="BJ16" i="28"/>
  <c r="BD12" i="51" s="1"/>
  <c r="BJ48" i="18"/>
  <c r="BJ34" i="18"/>
  <c r="BJ35" i="18" s="1"/>
  <c r="BJ13" i="18" s="1"/>
  <c r="BJ15" i="18" s="1"/>
  <c r="BK15" i="37"/>
  <c r="BL60" i="12"/>
  <c r="AA15" i="38"/>
  <c r="R15" i="39"/>
  <c r="BK17" i="37"/>
  <c r="BL70" i="12"/>
  <c r="BK17" i="11"/>
  <c r="BK18" i="11" s="1"/>
  <c r="AA17" i="38"/>
  <c r="R17" i="39"/>
  <c r="BJ32" i="16"/>
  <c r="BJ45" i="16"/>
  <c r="BJ46" i="16" s="1"/>
  <c r="BJ41" i="16"/>
  <c r="BD29" i="34"/>
  <c r="AX68" i="51" s="1"/>
  <c r="BL28" i="10"/>
  <c r="BK21" i="19"/>
  <c r="BK43" i="15"/>
  <c r="BK45" i="15" s="1"/>
  <c r="BK21" i="15"/>
  <c r="BM22" i="15" s="1"/>
  <c r="BE11" i="34"/>
  <c r="AY50" i="51" s="1"/>
  <c r="Y11" i="35"/>
  <c r="BK11" i="37"/>
  <c r="BK20" i="17"/>
  <c r="BK22" i="17" s="1"/>
  <c r="BK13" i="15"/>
  <c r="BK14" i="15" s="1"/>
  <c r="BK21" i="13"/>
  <c r="BK24" i="13" s="1"/>
  <c r="BK39" i="12"/>
  <c r="BQ41" i="12" s="1"/>
  <c r="BK48" i="12"/>
  <c r="BK50" i="12" s="1"/>
  <c r="BK17" i="9"/>
  <c r="BK18" i="9" s="1"/>
  <c r="AA11" i="38"/>
  <c r="BL20" i="34"/>
  <c r="BF59" i="51" s="1"/>
  <c r="BJ22" i="34"/>
  <c r="BD61" i="51" s="1"/>
  <c r="BJ19" i="31"/>
  <c r="BD34" i="51" s="1"/>
  <c r="BK29" i="19"/>
  <c r="BE20" i="31"/>
  <c r="AY35" i="51" s="1"/>
  <c r="BF75" i="20"/>
  <c r="Y20" i="32"/>
  <c r="M20" i="24"/>
  <c r="G35" i="50" s="1"/>
  <c r="Q20" i="33"/>
  <c r="BK38" i="19"/>
  <c r="BK31" i="19"/>
  <c r="BI37" i="9" l="1"/>
  <c r="BI38" i="9" s="1"/>
  <c r="BE12" i="34"/>
  <c r="AY51" i="51" s="1"/>
  <c r="BC22" i="9"/>
  <c r="BC24" i="9" s="1"/>
  <c r="BE21" i="31"/>
  <c r="AY36" i="51" s="1"/>
  <c r="BK10" i="31"/>
  <c r="BE25" i="51" s="1"/>
  <c r="BL41" i="15"/>
  <c r="AA10" i="32"/>
  <c r="R10" i="33"/>
  <c r="BK8" i="31"/>
  <c r="BE23" i="51" s="1"/>
  <c r="BL20" i="13"/>
  <c r="R8" i="33"/>
  <c r="AA8" i="32"/>
  <c r="BJ47" i="16"/>
  <c r="BJ33" i="16"/>
  <c r="BJ34" i="16" s="1"/>
  <c r="BJ13" i="16" s="1"/>
  <c r="BJ15" i="16" s="1"/>
  <c r="BJ18" i="31"/>
  <c r="BD33" i="51" s="1"/>
  <c r="BK11" i="18"/>
  <c r="BK15" i="15"/>
  <c r="BK32" i="15"/>
  <c r="BF66" i="20"/>
  <c r="BF68" i="20" s="1"/>
  <c r="BK10" i="34"/>
  <c r="BE49" i="51" s="1"/>
  <c r="AA10" i="35"/>
  <c r="BK48" i="19"/>
  <c r="BK17" i="34"/>
  <c r="BE56" i="51" s="1"/>
  <c r="BK27" i="17"/>
  <c r="BQ28" i="17" s="1"/>
  <c r="BK12" i="17"/>
  <c r="AA17" i="35"/>
  <c r="BM8" i="34"/>
  <c r="BG47" i="51" s="1"/>
  <c r="BM44" i="15"/>
  <c r="BL27" i="10"/>
  <c r="BL29" i="10" s="1"/>
  <c r="BJ16" i="31"/>
  <c r="BD31" i="51" s="1"/>
  <c r="BK11" i="17"/>
  <c r="BD12" i="9"/>
  <c r="BD13" i="9" s="1"/>
  <c r="BK29" i="15"/>
  <c r="BK10" i="12"/>
  <c r="BK11" i="12" s="1"/>
  <c r="BE15" i="34"/>
  <c r="AY54" i="51" s="1"/>
  <c r="Y12" i="35"/>
  <c r="BK8" i="28"/>
  <c r="BE4" i="51" s="1"/>
  <c r="BK19" i="16"/>
  <c r="BK21" i="16" s="1"/>
  <c r="BK26" i="11"/>
  <c r="BK27" i="11" s="1"/>
  <c r="AA8" i="29"/>
  <c r="BJ23" i="34"/>
  <c r="BD62" i="51" s="1"/>
  <c r="BI25" i="31"/>
  <c r="BC40" i="51" s="1"/>
  <c r="BJ36" i="9"/>
  <c r="BI28" i="9"/>
  <c r="BI30" i="9" s="1"/>
  <c r="BE23" i="9"/>
  <c r="Q21" i="33"/>
  <c r="Y21" i="32"/>
  <c r="M21" i="24"/>
  <c r="G36" i="50" s="1"/>
  <c r="BK12" i="37"/>
  <c r="BK12" i="13"/>
  <c r="BK13" i="13" s="1"/>
  <c r="BL47" i="12"/>
  <c r="AA12" i="38"/>
  <c r="R12" i="39"/>
  <c r="BQ13" i="37"/>
  <c r="BQ20" i="18"/>
  <c r="BQ22" i="18" s="1"/>
  <c r="BQ61" i="12"/>
  <c r="BQ49" i="12"/>
  <c r="J13" i="26"/>
  <c r="J13" i="39"/>
  <c r="L13" i="38"/>
  <c r="H41" i="12"/>
  <c r="M13" i="38"/>
  <c r="N13" i="39"/>
  <c r="L13" i="26"/>
  <c r="O13" i="39"/>
  <c r="M13" i="26"/>
  <c r="P13" i="39"/>
  <c r="Q13" i="39"/>
  <c r="R13" i="39"/>
  <c r="N13" i="26"/>
  <c r="S13" i="39"/>
  <c r="AC13" i="38"/>
  <c r="BJ17" i="28"/>
  <c r="BD13" i="51" s="1"/>
  <c r="BJ25" i="34"/>
  <c r="BD64" i="51" s="1"/>
  <c r="BJ35" i="20"/>
  <c r="BJ36" i="20" s="1"/>
  <c r="BK33" i="20" s="1"/>
  <c r="BJ40" i="20"/>
  <c r="BJ41" i="20" s="1"/>
  <c r="BJ46" i="20" s="1"/>
  <c r="BJ47" i="20" s="1"/>
  <c r="BK11" i="28" l="1"/>
  <c r="BE7" i="51" s="1"/>
  <c r="BJ19" i="28"/>
  <c r="BD15" i="51" s="1"/>
  <c r="BC23" i="31"/>
  <c r="AW38" i="51" s="1"/>
  <c r="BC15" i="22"/>
  <c r="BC17" i="22" s="1"/>
  <c r="BC21" i="22" s="1"/>
  <c r="BJ76" i="20"/>
  <c r="BJ48" i="20"/>
  <c r="BJ81" i="20"/>
  <c r="BQ29" i="17"/>
  <c r="BQ14" i="17"/>
  <c r="H28" i="17"/>
  <c r="H14" i="17" s="1"/>
  <c r="BJ17" i="31"/>
  <c r="BD32" i="51" s="1"/>
  <c r="BK11" i="16"/>
  <c r="BK30" i="13"/>
  <c r="BK33" i="13" s="1"/>
  <c r="BK14" i="13"/>
  <c r="BE26" i="34"/>
  <c r="AY65" i="51" s="1"/>
  <c r="Y15" i="35"/>
  <c r="BL53" i="12"/>
  <c r="BL54" i="12" s="1"/>
  <c r="BL11" i="11"/>
  <c r="BL12" i="11" s="1"/>
  <c r="BL23" i="10"/>
  <c r="BL24" i="10" s="1"/>
  <c r="BQ21" i="34"/>
  <c r="BK60" i="51" s="1"/>
  <c r="BQ12" i="18"/>
  <c r="L21" i="35"/>
  <c r="K21" i="36"/>
  <c r="J21" i="25"/>
  <c r="D60" i="50" s="1"/>
  <c r="M21" i="35"/>
  <c r="H22" i="18"/>
  <c r="N21" i="36"/>
  <c r="L21" i="25"/>
  <c r="F60" i="50" s="1"/>
  <c r="O21" i="36"/>
  <c r="P21" i="36"/>
  <c r="M21" i="25"/>
  <c r="G60" i="50" s="1"/>
  <c r="Q21" i="36"/>
  <c r="N21" i="25"/>
  <c r="H60" i="50" s="1"/>
  <c r="R21" i="36"/>
  <c r="S21" i="36"/>
  <c r="AC21" i="35"/>
  <c r="BK9" i="19"/>
  <c r="BK11" i="19" s="1"/>
  <c r="BK22" i="19" s="1"/>
  <c r="BK23" i="19" s="1"/>
  <c r="BK30" i="15"/>
  <c r="BK36" i="15" s="1"/>
  <c r="BK14" i="34"/>
  <c r="BE53" i="51" s="1"/>
  <c r="AA14" i="35"/>
  <c r="BL11" i="13"/>
  <c r="BK40" i="18"/>
  <c r="BK41" i="18" s="1"/>
  <c r="BK27" i="18"/>
  <c r="BK28" i="18" s="1"/>
  <c r="BK26" i="20"/>
  <c r="BK14" i="31"/>
  <c r="BE29" i="51" s="1"/>
  <c r="BL24" i="11"/>
  <c r="R14" i="33"/>
  <c r="AA14" i="32"/>
  <c r="BD11" i="31"/>
  <c r="AX26" i="51" s="1"/>
  <c r="BE11" i="9"/>
  <c r="BD9" i="8"/>
  <c r="H13" i="39"/>
  <c r="H13" i="38"/>
  <c r="H13" i="37"/>
  <c r="H13" i="26"/>
  <c r="H20" i="18"/>
  <c r="H49" i="12"/>
  <c r="H61" i="12"/>
  <c r="BK19" i="34"/>
  <c r="BE58" i="51" s="1"/>
  <c r="BK26" i="16"/>
  <c r="BM27" i="16" s="1"/>
  <c r="BK12" i="16"/>
  <c r="AA19" i="35"/>
  <c r="BK40" i="17"/>
  <c r="BK41" i="17" s="1"/>
  <c r="BJ24" i="34"/>
  <c r="BD63" i="51" s="1"/>
  <c r="BJ82" i="20"/>
  <c r="BL25" i="12"/>
  <c r="BI27" i="31"/>
  <c r="BC42" i="51" s="1"/>
  <c r="BI16" i="22"/>
  <c r="BK9" i="20"/>
  <c r="BK10" i="20" s="1"/>
  <c r="AA11" i="29"/>
  <c r="BF69" i="20"/>
  <c r="BF77" i="20"/>
  <c r="BF78" i="20" s="1"/>
  <c r="BD12" i="31" l="1"/>
  <c r="AX27" i="51" s="1"/>
  <c r="BK15" i="31"/>
  <c r="BE30" i="51" s="1"/>
  <c r="BL28" i="15"/>
  <c r="R15" i="33"/>
  <c r="AA15" i="32"/>
  <c r="BL10" i="37"/>
  <c r="BL24" i="12"/>
  <c r="BL26" i="12" s="1"/>
  <c r="BL31" i="12" s="1"/>
  <c r="BL33" i="12" s="1"/>
  <c r="BM20" i="10"/>
  <c r="H21" i="36"/>
  <c r="H21" i="35"/>
  <c r="H21" i="34"/>
  <c r="H21" i="25"/>
  <c r="H12" i="18"/>
  <c r="BL16" i="19"/>
  <c r="BL17" i="19" s="1"/>
  <c r="BL42" i="15"/>
  <c r="BL20" i="15"/>
  <c r="BL25" i="11"/>
  <c r="BL16" i="37"/>
  <c r="BL71" i="12"/>
  <c r="BL73" i="12" s="1"/>
  <c r="BL63" i="12"/>
  <c r="BL65" i="12" s="1"/>
  <c r="BQ18" i="34"/>
  <c r="BK57" i="51" s="1"/>
  <c r="J18" i="36"/>
  <c r="J18" i="25"/>
  <c r="D57" i="50" s="1"/>
  <c r="K18" i="36"/>
  <c r="L18" i="35"/>
  <c r="M18" i="35"/>
  <c r="H29" i="17"/>
  <c r="N18" i="36"/>
  <c r="L18" i="25"/>
  <c r="F57" i="50" s="1"/>
  <c r="O18" i="36"/>
  <c r="M18" i="25"/>
  <c r="G57" i="50" s="1"/>
  <c r="P18" i="36"/>
  <c r="Q18" i="36"/>
  <c r="N18" i="25"/>
  <c r="H57" i="50" s="1"/>
  <c r="R18" i="36"/>
  <c r="S18" i="36"/>
  <c r="AC18" i="35"/>
  <c r="BE29" i="34"/>
  <c r="AY68" i="51" s="1"/>
  <c r="Y26" i="35"/>
  <c r="BF20" i="31"/>
  <c r="AZ35" i="51" s="1"/>
  <c r="BG75" i="20"/>
  <c r="BK46" i="17"/>
  <c r="BK47" i="17" s="1"/>
  <c r="BK42" i="17"/>
  <c r="BK33" i="17"/>
  <c r="BK29" i="18"/>
  <c r="BK14" i="18"/>
  <c r="BK13" i="28"/>
  <c r="BE9" i="51" s="1"/>
  <c r="AA13" i="29"/>
  <c r="BF11" i="34"/>
  <c r="AZ50" i="51" s="1"/>
  <c r="BK42" i="18"/>
  <c r="BK46" i="18"/>
  <c r="BK47" i="18" s="1"/>
  <c r="BK33" i="18"/>
  <c r="BK30" i="19"/>
  <c r="BK32" i="19" s="1"/>
  <c r="BK49" i="19"/>
  <c r="BK51" i="19" s="1"/>
  <c r="BK36" i="19" s="1"/>
  <c r="BL37" i="19" s="1"/>
  <c r="BK34" i="13"/>
  <c r="BL29" i="13"/>
  <c r="BJ21" i="28"/>
  <c r="BD17" i="51" s="1"/>
  <c r="BK14" i="20"/>
  <c r="BK15" i="20" s="1"/>
  <c r="BK20" i="20"/>
  <c r="BK21" i="20" s="1"/>
  <c r="BK34" i="20" s="1"/>
  <c r="BM14" i="16"/>
  <c r="BM28" i="16"/>
  <c r="BK39" i="16"/>
  <c r="BK40" i="16" s="1"/>
  <c r="BJ22" i="28" l="1"/>
  <c r="BD18" i="51" s="1"/>
  <c r="BK14" i="28"/>
  <c r="BE10" i="51" s="1"/>
  <c r="BF12" i="34"/>
  <c r="AZ51" i="51" s="1"/>
  <c r="BF21" i="31"/>
  <c r="AZ36" i="51" s="1"/>
  <c r="BD22" i="9"/>
  <c r="BD24" i="9" s="1"/>
  <c r="BK9" i="31"/>
  <c r="BE24" i="51" s="1"/>
  <c r="AA9" i="32"/>
  <c r="R9" i="33"/>
  <c r="BK22" i="34"/>
  <c r="BE61" i="51" s="1"/>
  <c r="AA22" i="35"/>
  <c r="BM28" i="10"/>
  <c r="BL11" i="37"/>
  <c r="BL20" i="17"/>
  <c r="BL22" i="17" s="1"/>
  <c r="BL13" i="15"/>
  <c r="BL14" i="15" s="1"/>
  <c r="BL21" i="13"/>
  <c r="BL24" i="13" s="1"/>
  <c r="BL48" i="12"/>
  <c r="BL50" i="12" s="1"/>
  <c r="BL39" i="12"/>
  <c r="BL17" i="9"/>
  <c r="BL18" i="9" s="1"/>
  <c r="BM20" i="34"/>
  <c r="BG59" i="51" s="1"/>
  <c r="BK19" i="31"/>
  <c r="BE34" i="51" s="1"/>
  <c r="BL29" i="19"/>
  <c r="AA19" i="32"/>
  <c r="R19" i="33"/>
  <c r="BK16" i="28"/>
  <c r="BE12" i="51" s="1"/>
  <c r="AA16" i="29"/>
  <c r="H18" i="36"/>
  <c r="H18" i="35"/>
  <c r="H18" i="34"/>
  <c r="H18" i="25"/>
  <c r="BL21" i="19"/>
  <c r="BL43" i="15"/>
  <c r="BL45" i="15" s="1"/>
  <c r="BL21" i="15"/>
  <c r="BN22" i="15" s="1"/>
  <c r="BK34" i="17"/>
  <c r="BK35" i="17" s="1"/>
  <c r="BK13" i="17" s="1"/>
  <c r="BK15" i="17" s="1"/>
  <c r="BK48" i="17"/>
  <c r="BL15" i="37"/>
  <c r="BM60" i="12"/>
  <c r="BK25" i="20"/>
  <c r="BK27" i="20" s="1"/>
  <c r="BK39" i="20"/>
  <c r="BG66" i="20"/>
  <c r="BG68" i="20" s="1"/>
  <c r="BL17" i="37"/>
  <c r="BM70" i="12"/>
  <c r="BL17" i="11"/>
  <c r="BL18" i="11" s="1"/>
  <c r="BL31" i="19"/>
  <c r="BL38" i="19"/>
  <c r="BK34" i="18"/>
  <c r="BK35" i="18" s="1"/>
  <c r="BK13" i="18" s="1"/>
  <c r="BK15" i="18" s="1"/>
  <c r="BK48" i="18"/>
  <c r="BF15" i="34"/>
  <c r="AZ54" i="51" s="1"/>
  <c r="BK18" i="28"/>
  <c r="BE14" i="51" s="1"/>
  <c r="AA18" i="29"/>
  <c r="BJ37" i="9"/>
  <c r="BJ38" i="9" s="1"/>
  <c r="AA14" i="29"/>
  <c r="BK45" i="16"/>
  <c r="BK46" i="16" s="1"/>
  <c r="BK41" i="16"/>
  <c r="BK32" i="16"/>
  <c r="BE12" i="9"/>
  <c r="BE13" i="9" s="1"/>
  <c r="Y29" i="35"/>
  <c r="BF23" i="9" l="1"/>
  <c r="BD23" i="31"/>
  <c r="AX38" i="51" s="1"/>
  <c r="BD15" i="22"/>
  <c r="BD17" i="22" s="1"/>
  <c r="BD21" i="22" s="1"/>
  <c r="BL10" i="31"/>
  <c r="BF25" i="51" s="1"/>
  <c r="BM41" i="15"/>
  <c r="BK16" i="31"/>
  <c r="BE31" i="51" s="1"/>
  <c r="BL11" i="17"/>
  <c r="AA16" i="32"/>
  <c r="R16" i="33"/>
  <c r="BK18" i="31"/>
  <c r="BE33" i="51" s="1"/>
  <c r="BL11" i="18"/>
  <c r="AA18" i="32"/>
  <c r="R18" i="33"/>
  <c r="BL8" i="28"/>
  <c r="BF4" i="51" s="1"/>
  <c r="BL19" i="16"/>
  <c r="BL21" i="16" s="1"/>
  <c r="BL26" i="11"/>
  <c r="BL27" i="11" s="1"/>
  <c r="BM27" i="10"/>
  <c r="BM29" i="10" s="1"/>
  <c r="BL12" i="37"/>
  <c r="BL12" i="13"/>
  <c r="BL13" i="13" s="1"/>
  <c r="BM47" i="12"/>
  <c r="BL8" i="31"/>
  <c r="BF23" i="51" s="1"/>
  <c r="BM20" i="13"/>
  <c r="BN8" i="34"/>
  <c r="BH47" i="51" s="1"/>
  <c r="BN44" i="15"/>
  <c r="AB8" i="35"/>
  <c r="BK23" i="34"/>
  <c r="BE62" i="51" s="1"/>
  <c r="AA23" i="35"/>
  <c r="BL32" i="15"/>
  <c r="BL15" i="15"/>
  <c r="BL17" i="34"/>
  <c r="BF56" i="51" s="1"/>
  <c r="BL27" i="17"/>
  <c r="BL12" i="17"/>
  <c r="BJ25" i="31"/>
  <c r="BD40" i="51" s="1"/>
  <c r="BK36" i="9"/>
  <c r="BJ28" i="9"/>
  <c r="BJ30" i="9" s="1"/>
  <c r="BE11" i="31"/>
  <c r="AY26" i="51" s="1"/>
  <c r="BF11" i="9"/>
  <c r="BE9" i="8"/>
  <c r="M11" i="24"/>
  <c r="G26" i="50" s="1"/>
  <c r="Y11" i="32"/>
  <c r="Q11" i="33"/>
  <c r="BL29" i="15"/>
  <c r="BL10" i="12"/>
  <c r="BL11" i="12" s="1"/>
  <c r="BF26" i="34"/>
  <c r="AZ65" i="51" s="1"/>
  <c r="BK25" i="34"/>
  <c r="BE64" i="51" s="1"/>
  <c r="AA25" i="35"/>
  <c r="BG69" i="20"/>
  <c r="BG77" i="20"/>
  <c r="BG78" i="20" s="1"/>
  <c r="BK17" i="28"/>
  <c r="BE13" i="51" s="1"/>
  <c r="AA17" i="29"/>
  <c r="BK47" i="16"/>
  <c r="BK33" i="16"/>
  <c r="BK34" i="16" s="1"/>
  <c r="BK13" i="16" s="1"/>
  <c r="BK15" i="16" s="1"/>
  <c r="BL10" i="34"/>
  <c r="BF49" i="51" s="1"/>
  <c r="BK40" i="20"/>
  <c r="BK41" i="20" s="1"/>
  <c r="BK46" i="20" s="1"/>
  <c r="BK47" i="20" s="1"/>
  <c r="BK35" i="20"/>
  <c r="BK36" i="20" s="1"/>
  <c r="BL33" i="20" s="1"/>
  <c r="BL48" i="19"/>
  <c r="BL11" i="28" l="1"/>
  <c r="BF7" i="51" s="1"/>
  <c r="BE12" i="31"/>
  <c r="AY27" i="51" s="1"/>
  <c r="BK19" i="28"/>
  <c r="BE15" i="51" s="1"/>
  <c r="BK81" i="20"/>
  <c r="BK76" i="20"/>
  <c r="BK48" i="20"/>
  <c r="BK17" i="31"/>
  <c r="BE32" i="51" s="1"/>
  <c r="BL11" i="16"/>
  <c r="AA17" i="32"/>
  <c r="R17" i="33"/>
  <c r="BL9" i="19"/>
  <c r="BL11" i="19" s="1"/>
  <c r="BL22" i="19" s="1"/>
  <c r="BL23" i="19" s="1"/>
  <c r="BL30" i="15"/>
  <c r="BL36" i="15" s="1"/>
  <c r="BM53" i="12"/>
  <c r="BM54" i="12" s="1"/>
  <c r="BM11" i="11"/>
  <c r="BM12" i="11" s="1"/>
  <c r="BM23" i="10"/>
  <c r="BM24" i="10" s="1"/>
  <c r="BL40" i="18"/>
  <c r="BL41" i="18" s="1"/>
  <c r="BL27" i="18"/>
  <c r="BL28" i="18" s="1"/>
  <c r="BE22" i="9"/>
  <c r="BE24" i="9" s="1"/>
  <c r="M12" i="24"/>
  <c r="G27" i="50" s="1"/>
  <c r="Y12" i="32"/>
  <c r="Q12" i="33"/>
  <c r="BJ27" i="31"/>
  <c r="BD42" i="51" s="1"/>
  <c r="BJ16" i="22"/>
  <c r="BL14" i="34"/>
  <c r="BF53" i="51" s="1"/>
  <c r="BM11" i="13"/>
  <c r="BL14" i="31"/>
  <c r="BF29" i="51" s="1"/>
  <c r="BM24" i="11"/>
  <c r="BL26" i="20"/>
  <c r="AA19" i="29"/>
  <c r="BM25" i="12"/>
  <c r="BL19" i="34"/>
  <c r="BF58" i="51" s="1"/>
  <c r="BL26" i="16"/>
  <c r="BN27" i="16" s="1"/>
  <c r="BL12" i="16"/>
  <c r="BL40" i="17"/>
  <c r="BL41" i="17" s="1"/>
  <c r="BK24" i="34"/>
  <c r="BE63" i="51" s="1"/>
  <c r="AA24" i="35"/>
  <c r="BG20" i="31"/>
  <c r="BA35" i="51" s="1"/>
  <c r="BH75" i="20"/>
  <c r="BL30" i="13"/>
  <c r="BL33" i="13" s="1"/>
  <c r="BL14" i="13"/>
  <c r="BL9" i="20"/>
  <c r="BL10" i="20" s="1"/>
  <c r="BG11" i="34"/>
  <c r="BA50" i="51" s="1"/>
  <c r="BF29" i="34"/>
  <c r="AZ68" i="51" s="1"/>
  <c r="BG12" i="34" l="1"/>
  <c r="BA51" i="51" s="1"/>
  <c r="BG21" i="31"/>
  <c r="BA36" i="51" s="1"/>
  <c r="BK82" i="20"/>
  <c r="BL13" i="28"/>
  <c r="BF9" i="51" s="1"/>
  <c r="BL34" i="13"/>
  <c r="BL9" i="31" s="1"/>
  <c r="BF24" i="51" s="1"/>
  <c r="BM29" i="13"/>
  <c r="BF12" i="9"/>
  <c r="BF13" i="9" s="1"/>
  <c r="BL20" i="20"/>
  <c r="BL21" i="20" s="1"/>
  <c r="BL34" i="20" s="1"/>
  <c r="BL14" i="20"/>
  <c r="BL15" i="20" s="1"/>
  <c r="BL29" i="18"/>
  <c r="BL14" i="18"/>
  <c r="BL33" i="17"/>
  <c r="BL46" i="17"/>
  <c r="BL47" i="17" s="1"/>
  <c r="BL42" i="17"/>
  <c r="BL46" i="18"/>
  <c r="BL47" i="18" s="1"/>
  <c r="BL33" i="18"/>
  <c r="BL42" i="18"/>
  <c r="BM10" i="37"/>
  <c r="BM24" i="12"/>
  <c r="BM26" i="12" s="1"/>
  <c r="BM31" i="12" s="1"/>
  <c r="BM33" i="12" s="1"/>
  <c r="BN20" i="10"/>
  <c r="BM16" i="19"/>
  <c r="BM17" i="19" s="1"/>
  <c r="BM42" i="15"/>
  <c r="BM20" i="15"/>
  <c r="BM25" i="11"/>
  <c r="BL39" i="16"/>
  <c r="BL40" i="16" s="1"/>
  <c r="BG15" i="34"/>
  <c r="BA54" i="51" s="1"/>
  <c r="BH66" i="20"/>
  <c r="BH68" i="20" s="1"/>
  <c r="BM16" i="37"/>
  <c r="BM63" i="12"/>
  <c r="BM65" i="12" s="1"/>
  <c r="BM71" i="12"/>
  <c r="BM73" i="12" s="1"/>
  <c r="BN14" i="16"/>
  <c r="BN28" i="16"/>
  <c r="BE23" i="31"/>
  <c r="AY38" i="51" s="1"/>
  <c r="BE15" i="22"/>
  <c r="BE17" i="22" s="1"/>
  <c r="BE21" i="22" s="1"/>
  <c r="Y23" i="32"/>
  <c r="M23" i="24"/>
  <c r="G38" i="50" s="1"/>
  <c r="Q23" i="33"/>
  <c r="BK21" i="28"/>
  <c r="BE17" i="51" s="1"/>
  <c r="AA21" i="29"/>
  <c r="BL15" i="31"/>
  <c r="BF30" i="51" s="1"/>
  <c r="BM28" i="15"/>
  <c r="BL30" i="19"/>
  <c r="BL32" i="19" s="1"/>
  <c r="BL49" i="19"/>
  <c r="BL51" i="19" s="1"/>
  <c r="BL36" i="19" s="1"/>
  <c r="BM37" i="19" s="1"/>
  <c r="BK22" i="28" l="1"/>
  <c r="BE18" i="51" s="1"/>
  <c r="BL14" i="28"/>
  <c r="BF10" i="51" s="1"/>
  <c r="BG23" i="9"/>
  <c r="BM21" i="19"/>
  <c r="BM21" i="15"/>
  <c r="BM43" i="15"/>
  <c r="BM45" i="15" s="1"/>
  <c r="BL16" i="28"/>
  <c r="BF12" i="51" s="1"/>
  <c r="BL48" i="17"/>
  <c r="BL34" i="17"/>
  <c r="BL35" i="17" s="1"/>
  <c r="BL13" i="17" s="1"/>
  <c r="BL15" i="17" s="1"/>
  <c r="BF11" i="31"/>
  <c r="AZ26" i="51" s="1"/>
  <c r="BF9" i="8"/>
  <c r="BG11" i="9"/>
  <c r="BL19" i="31"/>
  <c r="BF34" i="51" s="1"/>
  <c r="BM29" i="19"/>
  <c r="BG26" i="34"/>
  <c r="BA65" i="51" s="1"/>
  <c r="BM11" i="37"/>
  <c r="BM20" i="17"/>
  <c r="BM22" i="17" s="1"/>
  <c r="BM13" i="15"/>
  <c r="BM14" i="15" s="1"/>
  <c r="BM21" i="13"/>
  <c r="BM24" i="13" s="1"/>
  <c r="BM39" i="12"/>
  <c r="BM48" i="12"/>
  <c r="BM50" i="12" s="1"/>
  <c r="BM17" i="9"/>
  <c r="BM18" i="9" s="1"/>
  <c r="BK37" i="9"/>
  <c r="BK38" i="9" s="1"/>
  <c r="AA22" i="29"/>
  <c r="BL41" i="16"/>
  <c r="BL32" i="16"/>
  <c r="BL45" i="16"/>
  <c r="BL46" i="16" s="1"/>
  <c r="BL22" i="34"/>
  <c r="BF61" i="51" s="1"/>
  <c r="BM17" i="37"/>
  <c r="BN70" i="12"/>
  <c r="BM17" i="11"/>
  <c r="BM18" i="11" s="1"/>
  <c r="BN28" i="10"/>
  <c r="BL18" i="28"/>
  <c r="BF14" i="51" s="1"/>
  <c r="BL39" i="20"/>
  <c r="BL25" i="20"/>
  <c r="BL27" i="20" s="1"/>
  <c r="BM38" i="19"/>
  <c r="BM31" i="19"/>
  <c r="BM15" i="37"/>
  <c r="BN60" i="12"/>
  <c r="BN20" i="34"/>
  <c r="BH59" i="51" s="1"/>
  <c r="AB20" i="35"/>
  <c r="BH69" i="20"/>
  <c r="BH77" i="20"/>
  <c r="BH78" i="20" s="1"/>
  <c r="BO22" i="15"/>
  <c r="BL34" i="18"/>
  <c r="BL35" i="18" s="1"/>
  <c r="BL13" i="18" s="1"/>
  <c r="BL15" i="18" s="1"/>
  <c r="BL48" i="18"/>
  <c r="BF12" i="31" l="1"/>
  <c r="AZ27" i="51" s="1"/>
  <c r="BL16" i="31"/>
  <c r="BF31" i="51" s="1"/>
  <c r="BM11" i="17"/>
  <c r="BL18" i="31"/>
  <c r="BF33" i="51" s="1"/>
  <c r="BM11" i="18"/>
  <c r="BM12" i="37"/>
  <c r="BM12" i="13"/>
  <c r="BM13" i="13" s="1"/>
  <c r="BN47" i="12"/>
  <c r="BL25" i="34"/>
  <c r="BF64" i="51" s="1"/>
  <c r="BH11" i="34"/>
  <c r="BB50" i="51" s="1"/>
  <c r="Z11" i="35"/>
  <c r="BL40" i="20"/>
  <c r="BL41" i="20" s="1"/>
  <c r="BL46" i="20" s="1"/>
  <c r="BL47" i="20" s="1"/>
  <c r="BL35" i="20"/>
  <c r="BL36" i="20" s="1"/>
  <c r="BM33" i="20" s="1"/>
  <c r="BL17" i="28"/>
  <c r="BF13" i="51" s="1"/>
  <c r="BG29" i="34"/>
  <c r="BA68" i="51" s="1"/>
  <c r="BL23" i="34"/>
  <c r="BF62" i="51" s="1"/>
  <c r="BM8" i="31"/>
  <c r="BG23" i="51" s="1"/>
  <c r="BN20" i="13"/>
  <c r="BM48" i="19"/>
  <c r="BM10" i="31"/>
  <c r="BG25" i="51" s="1"/>
  <c r="BN41" i="15"/>
  <c r="BM32" i="15"/>
  <c r="BM15" i="15"/>
  <c r="BH20" i="31"/>
  <c r="BB35" i="51" s="1"/>
  <c r="BI75" i="20"/>
  <c r="Z20" i="32"/>
  <c r="BM17" i="34"/>
  <c r="BG56" i="51" s="1"/>
  <c r="BM27" i="17"/>
  <c r="BM12" i="17"/>
  <c r="BK25" i="31"/>
  <c r="BE40" i="51" s="1"/>
  <c r="BK28" i="9"/>
  <c r="BK30" i="9" s="1"/>
  <c r="BL36" i="9"/>
  <c r="R25" i="33"/>
  <c r="AA25" i="32"/>
  <c r="BN27" i="10"/>
  <c r="BN29" i="10" s="1"/>
  <c r="BM8" i="28"/>
  <c r="BG4" i="51" s="1"/>
  <c r="BM19" i="16"/>
  <c r="BM21" i="16" s="1"/>
  <c r="BM26" i="11"/>
  <c r="BM27" i="11" s="1"/>
  <c r="BM10" i="34"/>
  <c r="BG49" i="51" s="1"/>
  <c r="BO8" i="34"/>
  <c r="BI47" i="51" s="1"/>
  <c r="BO44" i="15"/>
  <c r="BL47" i="16"/>
  <c r="BL33" i="16"/>
  <c r="BL34" i="16" s="1"/>
  <c r="BL13" i="16" s="1"/>
  <c r="BL15" i="16" s="1"/>
  <c r="BM29" i="15"/>
  <c r="BM10" i="12"/>
  <c r="BM11" i="12" s="1"/>
  <c r="BL19" i="28" l="1"/>
  <c r="BF15" i="51" s="1"/>
  <c r="BH12" i="34"/>
  <c r="BB51" i="51" s="1"/>
  <c r="BM11" i="28"/>
  <c r="BG7" i="51" s="1"/>
  <c r="BH21" i="31"/>
  <c r="BB36" i="51" s="1"/>
  <c r="BF22" i="9"/>
  <c r="BF24" i="9" s="1"/>
  <c r="BL17" i="31"/>
  <c r="BF32" i="51" s="1"/>
  <c r="BM11" i="16"/>
  <c r="BN25" i="12"/>
  <c r="BM19" i="34"/>
  <c r="BG58" i="51" s="1"/>
  <c r="BM26" i="16"/>
  <c r="BO27" i="16" s="1"/>
  <c r="BM12" i="16"/>
  <c r="BI66" i="20"/>
  <c r="BI68" i="20" s="1"/>
  <c r="BN11" i="13"/>
  <c r="BG12" i="9"/>
  <c r="BG13" i="9" s="1"/>
  <c r="BM14" i="13"/>
  <c r="BM30" i="13"/>
  <c r="BM33" i="13" s="1"/>
  <c r="BK27" i="31"/>
  <c r="BE42" i="51" s="1"/>
  <c r="BK16" i="22"/>
  <c r="AA27" i="32"/>
  <c r="R27" i="33"/>
  <c r="BH23" i="9"/>
  <c r="Z21" i="32"/>
  <c r="BM14" i="31"/>
  <c r="BG29" i="51" s="1"/>
  <c r="BN24" i="11"/>
  <c r="BL24" i="34"/>
  <c r="BF63" i="51" s="1"/>
  <c r="BM14" i="34"/>
  <c r="BG53" i="51" s="1"/>
  <c r="BH15" i="34"/>
  <c r="BB54" i="51" s="1"/>
  <c r="Z12" i="35"/>
  <c r="BM40" i="18"/>
  <c r="BM41" i="18" s="1"/>
  <c r="BM27" i="18"/>
  <c r="BM28" i="18" s="1"/>
  <c r="BL82" i="20"/>
  <c r="BN53" i="12"/>
  <c r="BN54" i="12" s="1"/>
  <c r="BN11" i="11"/>
  <c r="BN12" i="11" s="1"/>
  <c r="BN23" i="10"/>
  <c r="BN24" i="10" s="1"/>
  <c r="BL81" i="20"/>
  <c r="BL76" i="20"/>
  <c r="BL48" i="20"/>
  <c r="BM40" i="17"/>
  <c r="BM41" i="17" s="1"/>
  <c r="BM9" i="19"/>
  <c r="BM11" i="19" s="1"/>
  <c r="BM22" i="19" s="1"/>
  <c r="BM23" i="19" s="1"/>
  <c r="BM30" i="15"/>
  <c r="BM36" i="15" s="1"/>
  <c r="BM26" i="20"/>
  <c r="BM9" i="20" l="1"/>
  <c r="BM10" i="20" s="1"/>
  <c r="BF23" i="31"/>
  <c r="AZ38" i="51" s="1"/>
  <c r="BF15" i="22"/>
  <c r="BF17" i="22" s="1"/>
  <c r="BF21" i="22" s="1"/>
  <c r="BM15" i="31"/>
  <c r="BG30" i="51" s="1"/>
  <c r="BN28" i="15"/>
  <c r="BM49" i="19"/>
  <c r="BM51" i="19" s="1"/>
  <c r="BM36" i="19" s="1"/>
  <c r="BN37" i="19" s="1"/>
  <c r="BM30" i="19"/>
  <c r="BM32" i="19" s="1"/>
  <c r="BN16" i="19"/>
  <c r="BN17" i="19" s="1"/>
  <c r="BN20" i="15"/>
  <c r="BN42" i="15"/>
  <c r="BN25" i="11"/>
  <c r="BM46" i="18"/>
  <c r="BM47" i="18" s="1"/>
  <c r="BM33" i="18"/>
  <c r="BM42" i="18"/>
  <c r="BM34" i="13"/>
  <c r="BM9" i="31" s="1"/>
  <c r="BG24" i="51" s="1"/>
  <c r="BN29" i="13"/>
  <c r="BM13" i="28"/>
  <c r="BG9" i="51" s="1"/>
  <c r="BI77" i="20"/>
  <c r="BI78" i="20" s="1"/>
  <c r="BI69" i="20"/>
  <c r="BL21" i="28"/>
  <c r="BF17" i="51" s="1"/>
  <c r="BH26" i="34"/>
  <c r="BB65" i="51" s="1"/>
  <c r="Z15" i="35"/>
  <c r="BM20" i="20"/>
  <c r="BM21" i="20" s="1"/>
  <c r="BM34" i="20" s="1"/>
  <c r="BM14" i="20"/>
  <c r="BM15" i="20" s="1"/>
  <c r="BN16" i="37"/>
  <c r="BN63" i="12"/>
  <c r="BN65" i="12" s="1"/>
  <c r="BN71" i="12"/>
  <c r="BN73" i="12" s="1"/>
  <c r="AB16" i="38"/>
  <c r="BM46" i="17"/>
  <c r="BM47" i="17" s="1"/>
  <c r="BM42" i="17"/>
  <c r="BM33" i="17"/>
  <c r="BM39" i="16"/>
  <c r="BM40" i="16" s="1"/>
  <c r="BN10" i="37"/>
  <c r="BN24" i="12"/>
  <c r="BN26" i="12" s="1"/>
  <c r="BN31" i="12" s="1"/>
  <c r="BN33" i="12" s="1"/>
  <c r="BO20" i="10"/>
  <c r="AB10" i="38"/>
  <c r="BM29" i="18"/>
  <c r="BM14" i="18"/>
  <c r="BG11" i="31"/>
  <c r="BA26" i="51" s="1"/>
  <c r="BG9" i="8"/>
  <c r="BH11" i="9"/>
  <c r="BO14" i="16"/>
  <c r="BO28" i="16"/>
  <c r="BL22" i="28" l="1"/>
  <c r="BF18" i="51" s="1"/>
  <c r="BG12" i="31"/>
  <c r="BA27" i="51" s="1"/>
  <c r="BM14" i="28"/>
  <c r="BG10" i="51" s="1"/>
  <c r="BH29" i="34"/>
  <c r="BB68" i="51" s="1"/>
  <c r="Z26" i="35"/>
  <c r="BN21" i="19"/>
  <c r="BN43" i="15"/>
  <c r="BN45" i="15" s="1"/>
  <c r="BN21" i="15"/>
  <c r="BP22" i="15" s="1"/>
  <c r="BM22" i="34"/>
  <c r="BG61" i="51" s="1"/>
  <c r="BM25" i="20"/>
  <c r="BM27" i="20" s="1"/>
  <c r="BM39" i="20"/>
  <c r="BL37" i="9"/>
  <c r="BL38" i="9" s="1"/>
  <c r="BM19" i="31"/>
  <c r="BG34" i="51" s="1"/>
  <c r="BN29" i="19"/>
  <c r="BM32" i="16"/>
  <c r="BM45" i="16"/>
  <c r="BM46" i="16" s="1"/>
  <c r="BM41" i="16"/>
  <c r="BN15" i="37"/>
  <c r="BO60" i="12"/>
  <c r="AB15" i="38"/>
  <c r="BO20" i="34"/>
  <c r="BI59" i="51" s="1"/>
  <c r="BO28" i="10"/>
  <c r="BM16" i="28"/>
  <c r="BG12" i="51" s="1"/>
  <c r="BI11" i="34"/>
  <c r="BC50" i="51" s="1"/>
  <c r="BM18" i="28"/>
  <c r="BG14" i="51" s="1"/>
  <c r="BN38" i="19"/>
  <c r="BN31" i="19"/>
  <c r="BN11" i="37"/>
  <c r="BN20" i="17"/>
  <c r="BN22" i="17" s="1"/>
  <c r="BN13" i="15"/>
  <c r="BN14" i="15" s="1"/>
  <c r="BN21" i="13"/>
  <c r="BN24" i="13" s="1"/>
  <c r="BN39" i="12"/>
  <c r="BN48" i="12"/>
  <c r="BN50" i="12" s="1"/>
  <c r="BN17" i="9"/>
  <c r="BN18" i="9" s="1"/>
  <c r="AB11" i="38"/>
  <c r="BM48" i="17"/>
  <c r="BM34" i="17"/>
  <c r="BM35" i="17" s="1"/>
  <c r="BM13" i="17" s="1"/>
  <c r="BM15" i="17" s="1"/>
  <c r="BI20" i="31"/>
  <c r="BC35" i="51" s="1"/>
  <c r="BJ75" i="20"/>
  <c r="BN17" i="37"/>
  <c r="BO70" i="12"/>
  <c r="BN17" i="11"/>
  <c r="BN18" i="11" s="1"/>
  <c r="AB17" i="38"/>
  <c r="BM48" i="18"/>
  <c r="BM34" i="18"/>
  <c r="BM35" i="18" s="1"/>
  <c r="BM13" i="18" s="1"/>
  <c r="BM15" i="18" s="1"/>
  <c r="BI12" i="34" l="1"/>
  <c r="BC51" i="51" s="1"/>
  <c r="BG22" i="9"/>
  <c r="BG24" i="9" s="1"/>
  <c r="BI21" i="31"/>
  <c r="BC36" i="51" s="1"/>
  <c r="BM18" i="31"/>
  <c r="BG33" i="51" s="1"/>
  <c r="BN11" i="18"/>
  <c r="BM16" i="31"/>
  <c r="BG31" i="51" s="1"/>
  <c r="BN11" i="17"/>
  <c r="BN10" i="31"/>
  <c r="BH25" i="51" s="1"/>
  <c r="BO41" i="15"/>
  <c r="AB10" i="32"/>
  <c r="BM47" i="16"/>
  <c r="BM33" i="16"/>
  <c r="BM40" i="20"/>
  <c r="BM35" i="20"/>
  <c r="BM36" i="20" s="1"/>
  <c r="BN33" i="20" s="1"/>
  <c r="BN8" i="31"/>
  <c r="BH23" i="51" s="1"/>
  <c r="BO20" i="13"/>
  <c r="AB8" i="32"/>
  <c r="BM34" i="16"/>
  <c r="BM13" i="16" s="1"/>
  <c r="BM15" i="16" s="1"/>
  <c r="BP8" i="34"/>
  <c r="BJ47" i="51" s="1"/>
  <c r="BP44" i="15"/>
  <c r="BJ66" i="20"/>
  <c r="BJ68" i="20" s="1"/>
  <c r="BN15" i="15"/>
  <c r="BN32" i="15"/>
  <c r="BI15" i="34"/>
  <c r="BC54" i="51" s="1"/>
  <c r="BN48" i="19"/>
  <c r="BN8" i="28"/>
  <c r="BH4" i="51" s="1"/>
  <c r="BN19" i="16"/>
  <c r="BN21" i="16" s="1"/>
  <c r="BN26" i="11"/>
  <c r="BN27" i="11" s="1"/>
  <c r="AB8" i="29"/>
  <c r="BM23" i="34"/>
  <c r="BG62" i="51" s="1"/>
  <c r="BN17" i="34"/>
  <c r="BH56" i="51" s="1"/>
  <c r="BN27" i="17"/>
  <c r="BN12" i="17"/>
  <c r="AB17" i="35"/>
  <c r="BN10" i="34"/>
  <c r="BH49" i="51" s="1"/>
  <c r="AB10" i="35"/>
  <c r="BM25" i="34"/>
  <c r="BG64" i="51" s="1"/>
  <c r="BO27" i="10"/>
  <c r="BO29" i="10" s="1"/>
  <c r="BN29" i="15"/>
  <c r="BN10" i="12"/>
  <c r="BN11" i="12" s="1"/>
  <c r="BL25" i="31"/>
  <c r="BF40" i="51" s="1"/>
  <c r="BL28" i="9"/>
  <c r="BL30" i="9" s="1"/>
  <c r="BM36" i="9"/>
  <c r="BH12" i="9"/>
  <c r="BH13" i="9" s="1"/>
  <c r="Z29" i="35"/>
  <c r="BN12" i="37"/>
  <c r="BN12" i="13"/>
  <c r="BN13" i="13" s="1"/>
  <c r="BO47" i="12"/>
  <c r="AB12" i="38"/>
  <c r="BM17" i="28"/>
  <c r="BG13" i="51" s="1"/>
  <c r="BM41" i="20"/>
  <c r="BM46" i="20" s="1"/>
  <c r="BM47" i="20" s="1"/>
  <c r="BI23" i="9" l="1"/>
  <c r="BG23" i="31"/>
  <c r="BA38" i="51" s="1"/>
  <c r="BG15" i="22"/>
  <c r="BG17" i="22" s="1"/>
  <c r="BG21" i="22" s="1"/>
  <c r="BM19" i="28"/>
  <c r="BG15" i="51" s="1"/>
  <c r="BN11" i="28"/>
  <c r="BH7" i="51" s="1"/>
  <c r="BM24" i="34"/>
  <c r="BG63" i="51" s="1"/>
  <c r="BH11" i="31"/>
  <c r="BB26" i="51" s="1"/>
  <c r="BI11" i="9"/>
  <c r="BH9" i="8"/>
  <c r="Z11" i="32"/>
  <c r="BM17" i="31"/>
  <c r="BG32" i="51" s="1"/>
  <c r="BN11" i="16"/>
  <c r="BO25" i="12"/>
  <c r="BL27" i="31"/>
  <c r="BF42" i="51" s="1"/>
  <c r="BL16" i="22"/>
  <c r="BN19" i="34"/>
  <c r="BH58" i="51" s="1"/>
  <c r="BN26" i="16"/>
  <c r="BP27" i="16" s="1"/>
  <c r="BN12" i="16"/>
  <c r="AB19" i="35"/>
  <c r="BN14" i="31"/>
  <c r="BH29" i="51" s="1"/>
  <c r="BO24" i="11"/>
  <c r="AB14" i="32"/>
  <c r="BI26" i="34"/>
  <c r="BC65" i="51" s="1"/>
  <c r="BN30" i="13"/>
  <c r="BN33" i="13" s="1"/>
  <c r="BN14" i="13"/>
  <c r="BN9" i="20"/>
  <c r="BN10" i="20" s="1"/>
  <c r="AB11" i="29"/>
  <c r="BN14" i="34"/>
  <c r="BH53" i="51" s="1"/>
  <c r="AB14" i="35"/>
  <c r="BO11" i="13"/>
  <c r="BN9" i="19"/>
  <c r="BN11" i="19" s="1"/>
  <c r="BN22" i="19" s="1"/>
  <c r="BN23" i="19" s="1"/>
  <c r="BN30" i="15"/>
  <c r="BN36" i="15" s="1"/>
  <c r="BN40" i="17"/>
  <c r="BN41" i="17" s="1"/>
  <c r="BJ69" i="20"/>
  <c r="BJ77" i="20"/>
  <c r="BJ78" i="20" s="1"/>
  <c r="BN26" i="20"/>
  <c r="BM48" i="20"/>
  <c r="BM81" i="20"/>
  <c r="BM76" i="20"/>
  <c r="BN40" i="18"/>
  <c r="BN41" i="18" s="1"/>
  <c r="BN27" i="18"/>
  <c r="BN28" i="18" s="1"/>
  <c r="BO53" i="12"/>
  <c r="BO54" i="12" s="1"/>
  <c r="BO11" i="11"/>
  <c r="BO12" i="11" s="1"/>
  <c r="BO23" i="10"/>
  <c r="BO24" i="10" s="1"/>
  <c r="BH12" i="31" l="1"/>
  <c r="BB27" i="51" s="1"/>
  <c r="BM82" i="20"/>
  <c r="BN15" i="31"/>
  <c r="BH30" i="51" s="1"/>
  <c r="BO28" i="15"/>
  <c r="AB15" i="32"/>
  <c r="BM21" i="28"/>
  <c r="BG17" i="51" s="1"/>
  <c r="BN39" i="16"/>
  <c r="BN40" i="16" s="1"/>
  <c r="BO16" i="37"/>
  <c r="BO63" i="12"/>
  <c r="BO65" i="12" s="1"/>
  <c r="BO71" i="12"/>
  <c r="BO73" i="12" s="1"/>
  <c r="BI29" i="34"/>
  <c r="BC68" i="51" s="1"/>
  <c r="BP14" i="16"/>
  <c r="BP28" i="16"/>
  <c r="BO16" i="19"/>
  <c r="BO17" i="19" s="1"/>
  <c r="BO42" i="15"/>
  <c r="BO20" i="15"/>
  <c r="BO25" i="11"/>
  <c r="BN46" i="18"/>
  <c r="BN47" i="18" s="1"/>
  <c r="BN42" i="18"/>
  <c r="BN33" i="18"/>
  <c r="BN14" i="20"/>
  <c r="BN15" i="20" s="1"/>
  <c r="BN20" i="20"/>
  <c r="BN21" i="20" s="1"/>
  <c r="BN34" i="20" s="1"/>
  <c r="BN42" i="17"/>
  <c r="BN33" i="17"/>
  <c r="BN46" i="17"/>
  <c r="BN47" i="17" s="1"/>
  <c r="BJ20" i="31"/>
  <c r="BD35" i="51" s="1"/>
  <c r="BK75" i="20"/>
  <c r="BN13" i="28"/>
  <c r="BH9" i="51" s="1"/>
  <c r="AB13" i="29"/>
  <c r="BN29" i="18"/>
  <c r="BN14" i="18"/>
  <c r="BN49" i="19"/>
  <c r="BN51" i="19" s="1"/>
  <c r="BN36" i="19" s="1"/>
  <c r="BO37" i="19" s="1"/>
  <c r="BN30" i="19"/>
  <c r="BN32" i="19" s="1"/>
  <c r="BJ11" i="34"/>
  <c r="BD50" i="51" s="1"/>
  <c r="BO10" i="37"/>
  <c r="BO24" i="12"/>
  <c r="BO26" i="12" s="1"/>
  <c r="BO31" i="12" s="1"/>
  <c r="BO33" i="12" s="1"/>
  <c r="BP20" i="10"/>
  <c r="BO29" i="13"/>
  <c r="BN34" i="13"/>
  <c r="BH22" i="9"/>
  <c r="BH24" i="9" s="1"/>
  <c r="Z12" i="32"/>
  <c r="BM22" i="28" l="1"/>
  <c r="BG18" i="51" s="1"/>
  <c r="BN14" i="28"/>
  <c r="BH10" i="51" s="1"/>
  <c r="BJ12" i="34"/>
  <c r="BD51" i="51" s="1"/>
  <c r="BJ21" i="31"/>
  <c r="BD36" i="51" s="1"/>
  <c r="BO11" i="37"/>
  <c r="BO20" i="17"/>
  <c r="BO22" i="17" s="1"/>
  <c r="BO13" i="15"/>
  <c r="BO14" i="15" s="1"/>
  <c r="BO21" i="13"/>
  <c r="BO24" i="13" s="1"/>
  <c r="BO48" i="12"/>
  <c r="BO50" i="12" s="1"/>
  <c r="BO39" i="12"/>
  <c r="BO17" i="9"/>
  <c r="BO18" i="9" s="1"/>
  <c r="BN48" i="17"/>
  <c r="BN34" i="17"/>
  <c r="BN48" i="18"/>
  <c r="BN34" i="18"/>
  <c r="BN35" i="18" s="1"/>
  <c r="BN13" i="18" s="1"/>
  <c r="BN15" i="18" s="1"/>
  <c r="BN32" i="16"/>
  <c r="BN45" i="16"/>
  <c r="BN46" i="16" s="1"/>
  <c r="BN41" i="16"/>
  <c r="BN16" i="28"/>
  <c r="BH12" i="51" s="1"/>
  <c r="AB16" i="29"/>
  <c r="BI12" i="9"/>
  <c r="BI13" i="9" s="1"/>
  <c r="BH23" i="31"/>
  <c r="BB38" i="51" s="1"/>
  <c r="BH15" i="22"/>
  <c r="BH17" i="22" s="1"/>
  <c r="BH21" i="22" s="1"/>
  <c r="Z23" i="32"/>
  <c r="BO21" i="19"/>
  <c r="BO43" i="15"/>
  <c r="BO45" i="15" s="1"/>
  <c r="BO21" i="15"/>
  <c r="BQ22" i="15" s="1"/>
  <c r="BM37" i="9"/>
  <c r="BM38" i="9" s="1"/>
  <c r="AB14" i="29"/>
  <c r="BN9" i="31"/>
  <c r="BH24" i="51" s="1"/>
  <c r="AB9" i="32"/>
  <c r="BN25" i="20"/>
  <c r="BN27" i="20" s="1"/>
  <c r="BN39" i="20"/>
  <c r="BP20" i="34"/>
  <c r="BJ59" i="51" s="1"/>
  <c r="BO17" i="37"/>
  <c r="BP70" i="12"/>
  <c r="BO17" i="11"/>
  <c r="BO18" i="11" s="1"/>
  <c r="BN19" i="31"/>
  <c r="BH34" i="51" s="1"/>
  <c r="BO29" i="19"/>
  <c r="AB19" i="32"/>
  <c r="BO38" i="19"/>
  <c r="BO31" i="19"/>
  <c r="BK66" i="20"/>
  <c r="BK68" i="20" s="1"/>
  <c r="BO15" i="37"/>
  <c r="BP60" i="12"/>
  <c r="BN35" i="17"/>
  <c r="BN13" i="17" s="1"/>
  <c r="BN15" i="17" s="1"/>
  <c r="BP28" i="10"/>
  <c r="BN22" i="34"/>
  <c r="BH61" i="51" s="1"/>
  <c r="AB22" i="35"/>
  <c r="BN18" i="28"/>
  <c r="BH14" i="51" s="1"/>
  <c r="AB18" i="29"/>
  <c r="BJ23" i="9" l="1"/>
  <c r="BJ15" i="34"/>
  <c r="BD54" i="51" s="1"/>
  <c r="BN47" i="16"/>
  <c r="BN33" i="16"/>
  <c r="BN34" i="16" s="1"/>
  <c r="BN13" i="16" s="1"/>
  <c r="BN15" i="16" s="1"/>
  <c r="BO29" i="15"/>
  <c r="BO10" i="12"/>
  <c r="BO11" i="12" s="1"/>
  <c r="BO10" i="31"/>
  <c r="BI25" i="51" s="1"/>
  <c r="BP41" i="15"/>
  <c r="BN16" i="31"/>
  <c r="BH31" i="51" s="1"/>
  <c r="BO11" i="17"/>
  <c r="AB16" i="32"/>
  <c r="BI11" i="31"/>
  <c r="BC26" i="51" s="1"/>
  <c r="BJ11" i="9"/>
  <c r="BI9" i="8"/>
  <c r="BO12" i="37"/>
  <c r="BO12" i="13"/>
  <c r="BO13" i="13" s="1"/>
  <c r="BP47" i="12"/>
  <c r="BO10" i="34"/>
  <c r="BI49" i="51" s="1"/>
  <c r="BQ8" i="34"/>
  <c r="BK47" i="51" s="1"/>
  <c r="BQ44" i="15"/>
  <c r="K8" i="36"/>
  <c r="M8" i="35"/>
  <c r="J8" i="36"/>
  <c r="K8" i="35"/>
  <c r="J8" i="25"/>
  <c r="D47" i="50" s="1"/>
  <c r="H22" i="15"/>
  <c r="K8" i="25"/>
  <c r="E47" i="50" s="1"/>
  <c r="M8" i="36"/>
  <c r="L8" i="25"/>
  <c r="F47" i="50" s="1"/>
  <c r="N8" i="36"/>
  <c r="O8" i="36"/>
  <c r="M8" i="25"/>
  <c r="G47" i="50" s="1"/>
  <c r="P8" i="36"/>
  <c r="Q8" i="36"/>
  <c r="R8" i="36"/>
  <c r="N8" i="25"/>
  <c r="H47" i="50" s="1"/>
  <c r="S8" i="36"/>
  <c r="AC8" i="35"/>
  <c r="BN25" i="34"/>
  <c r="BH64" i="51" s="1"/>
  <c r="AB25" i="35"/>
  <c r="BO8" i="31"/>
  <c r="BI23" i="51" s="1"/>
  <c r="BP20" i="13"/>
  <c r="BP27" i="10"/>
  <c r="BP29" i="10" s="1"/>
  <c r="BO15" i="15"/>
  <c r="BO32" i="15"/>
  <c r="BO48" i="19"/>
  <c r="BN35" i="20"/>
  <c r="BN36" i="20" s="1"/>
  <c r="BO33" i="20" s="1"/>
  <c r="BN40" i="20"/>
  <c r="BN41" i="20" s="1"/>
  <c r="BN46" i="20" s="1"/>
  <c r="BN47" i="20" s="1"/>
  <c r="BM25" i="31"/>
  <c r="BG40" i="51" s="1"/>
  <c r="BN36" i="9"/>
  <c r="BM28" i="9"/>
  <c r="BM30" i="9" s="1"/>
  <c r="BN23" i="34"/>
  <c r="BH62" i="51" s="1"/>
  <c r="AB23" i="35"/>
  <c r="BO17" i="34"/>
  <c r="BI56" i="51" s="1"/>
  <c r="BO27" i="17"/>
  <c r="BO12" i="17"/>
  <c r="BN18" i="31"/>
  <c r="BH33" i="51" s="1"/>
  <c r="BO11" i="18"/>
  <c r="AB18" i="32"/>
  <c r="BJ26" i="34"/>
  <c r="BD65" i="51" s="1"/>
  <c r="BK69" i="20"/>
  <c r="BK77" i="20"/>
  <c r="BK78" i="20" s="1"/>
  <c r="BO8" i="28"/>
  <c r="BI4" i="51" s="1"/>
  <c r="BO19" i="16"/>
  <c r="BO21" i="16" s="1"/>
  <c r="BO26" i="11"/>
  <c r="BO27" i="11" s="1"/>
  <c r="BN17" i="28"/>
  <c r="BH13" i="51" s="1"/>
  <c r="AB17" i="29"/>
  <c r="BI12" i="31" l="1"/>
  <c r="BC27" i="51" s="1"/>
  <c r="BN19" i="28"/>
  <c r="BH15" i="51" s="1"/>
  <c r="BO11" i="28"/>
  <c r="BI7" i="51" s="1"/>
  <c r="BN76" i="20"/>
  <c r="BN81" i="20"/>
  <c r="BN48" i="20"/>
  <c r="BO14" i="13"/>
  <c r="BO30" i="13"/>
  <c r="BO33" i="13" s="1"/>
  <c r="AB19" i="29"/>
  <c r="BP53" i="12"/>
  <c r="BP54" i="12" s="1"/>
  <c r="BP11" i="11"/>
  <c r="BP12" i="11" s="1"/>
  <c r="BP23" i="10"/>
  <c r="BP24" i="10" s="1"/>
  <c r="BJ29" i="34"/>
  <c r="BD68" i="51" s="1"/>
  <c r="BO26" i="20"/>
  <c r="BP11" i="13"/>
  <c r="H8" i="36"/>
  <c r="H8" i="35"/>
  <c r="H8" i="34"/>
  <c r="H8" i="25"/>
  <c r="H44" i="15"/>
  <c r="BN17" i="31"/>
  <c r="BH32" i="51" s="1"/>
  <c r="BO11" i="16"/>
  <c r="AB17" i="32"/>
  <c r="BO14" i="31"/>
  <c r="BI29" i="51" s="1"/>
  <c r="BP24" i="11"/>
  <c r="BO9" i="19"/>
  <c r="BO11" i="19" s="1"/>
  <c r="BO22" i="19" s="1"/>
  <c r="BO23" i="19" s="1"/>
  <c r="BO30" i="15"/>
  <c r="BO36" i="15" s="1"/>
  <c r="BO40" i="18"/>
  <c r="BO41" i="18" s="1"/>
  <c r="BO27" i="18"/>
  <c r="BO28" i="18" s="1"/>
  <c r="BO19" i="34"/>
  <c r="BI58" i="51" s="1"/>
  <c r="BO26" i="16"/>
  <c r="BQ27" i="16" s="1"/>
  <c r="BO12" i="16"/>
  <c r="BK11" i="34"/>
  <c r="BE50" i="51" s="1"/>
  <c r="AA11" i="35"/>
  <c r="BO9" i="20"/>
  <c r="BO10" i="20" s="1"/>
  <c r="BM27" i="31"/>
  <c r="BG42" i="51" s="1"/>
  <c r="BM16" i="22"/>
  <c r="BO14" i="34"/>
  <c r="BI53" i="51" s="1"/>
  <c r="BO40" i="17"/>
  <c r="BO41" i="17" s="1"/>
  <c r="BK20" i="31"/>
  <c r="BE35" i="51" s="1"/>
  <c r="BL75" i="20"/>
  <c r="R20" i="33"/>
  <c r="AA20" i="32"/>
  <c r="BP25" i="12"/>
  <c r="BN24" i="34"/>
  <c r="BH63" i="51" s="1"/>
  <c r="AB24" i="35"/>
  <c r="BN82" i="20" l="1"/>
  <c r="BK12" i="34"/>
  <c r="BE51" i="51" s="1"/>
  <c r="BK21" i="31"/>
  <c r="BE36" i="51" s="1"/>
  <c r="BI22" i="9"/>
  <c r="BI24" i="9" s="1"/>
  <c r="BO15" i="31"/>
  <c r="BI30" i="51" s="1"/>
  <c r="BP28" i="15"/>
  <c r="BO29" i="18"/>
  <c r="BO14" i="18"/>
  <c r="BL66" i="20"/>
  <c r="BL68" i="20" s="1"/>
  <c r="BO42" i="18"/>
  <c r="BO33" i="18"/>
  <c r="BO46" i="18"/>
  <c r="BO47" i="18" s="1"/>
  <c r="BJ12" i="9"/>
  <c r="BJ13" i="9" s="1"/>
  <c r="BK23" i="9"/>
  <c r="AA21" i="32"/>
  <c r="BO39" i="16"/>
  <c r="BO40" i="16" s="1"/>
  <c r="BP10" i="37"/>
  <c r="BP24" i="12"/>
  <c r="BP26" i="12" s="1"/>
  <c r="BP31" i="12" s="1"/>
  <c r="BP33" i="12" s="1"/>
  <c r="BQ20" i="10"/>
  <c r="BO34" i="13"/>
  <c r="BO9" i="31" s="1"/>
  <c r="BI24" i="51" s="1"/>
  <c r="BP29" i="13"/>
  <c r="BO49" i="19"/>
  <c r="BO51" i="19" s="1"/>
  <c r="BO36" i="19" s="1"/>
  <c r="BP37" i="19" s="1"/>
  <c r="BO30" i="19"/>
  <c r="BO32" i="19" s="1"/>
  <c r="BP16" i="19"/>
  <c r="BP17" i="19" s="1"/>
  <c r="BP42" i="15"/>
  <c r="BP20" i="15"/>
  <c r="BP25" i="11"/>
  <c r="BO13" i="28"/>
  <c r="BI9" i="51" s="1"/>
  <c r="BO42" i="17"/>
  <c r="BO33" i="17"/>
  <c r="BO46" i="17"/>
  <c r="BO47" i="17" s="1"/>
  <c r="BO14" i="20"/>
  <c r="BO15" i="20" s="1"/>
  <c r="BO20" i="20"/>
  <c r="BO21" i="20" s="1"/>
  <c r="BO34" i="20" s="1"/>
  <c r="BP16" i="37"/>
  <c r="BP63" i="12"/>
  <c r="BP65" i="12" s="1"/>
  <c r="BP71" i="12"/>
  <c r="BP73" i="12" s="1"/>
  <c r="BN21" i="28"/>
  <c r="BH17" i="51" s="1"/>
  <c r="AB21" i="29"/>
  <c r="BK15" i="34"/>
  <c r="BE54" i="51" s="1"/>
  <c r="AA12" i="35"/>
  <c r="BQ28" i="16"/>
  <c r="BQ14" i="16"/>
  <c r="H27" i="16"/>
  <c r="H14" i="16" s="1"/>
  <c r="BI23" i="31" l="1"/>
  <c r="BC38" i="51" s="1"/>
  <c r="BI15" i="22"/>
  <c r="BI17" i="22" s="1"/>
  <c r="BI21" i="22" s="1"/>
  <c r="BN22" i="28"/>
  <c r="BH18" i="51" s="1"/>
  <c r="BO14" i="28"/>
  <c r="BI10" i="51" s="1"/>
  <c r="R21" i="33"/>
  <c r="BO19" i="31"/>
  <c r="BI34" i="51" s="1"/>
  <c r="BP29" i="19"/>
  <c r="BO32" i="16"/>
  <c r="BO45" i="16"/>
  <c r="BO46" i="16" s="1"/>
  <c r="BO41" i="16"/>
  <c r="BO18" i="28"/>
  <c r="BI14" i="51" s="1"/>
  <c r="BQ20" i="34"/>
  <c r="BK59" i="51" s="1"/>
  <c r="L20" i="35"/>
  <c r="J20" i="25"/>
  <c r="D59" i="50" s="1"/>
  <c r="J20" i="36"/>
  <c r="K20" i="35"/>
  <c r="H28" i="16"/>
  <c r="K20" i="36"/>
  <c r="K20" i="25"/>
  <c r="E59" i="50" s="1"/>
  <c r="M20" i="36"/>
  <c r="L20" i="25"/>
  <c r="F59" i="50" s="1"/>
  <c r="N20" i="36"/>
  <c r="O20" i="36"/>
  <c r="P20" i="36"/>
  <c r="M20" i="25"/>
  <c r="G59" i="50" s="1"/>
  <c r="Q20" i="36"/>
  <c r="R20" i="36"/>
  <c r="N20" i="25"/>
  <c r="H59" i="50" s="1"/>
  <c r="S20" i="36"/>
  <c r="AC20" i="35"/>
  <c r="BP31" i="19"/>
  <c r="BP38" i="19"/>
  <c r="BL69" i="20"/>
  <c r="BL77" i="20"/>
  <c r="BL78" i="20" s="1"/>
  <c r="BK26" i="34"/>
  <c r="BE65" i="51" s="1"/>
  <c r="AA15" i="35"/>
  <c r="BO39" i="20"/>
  <c r="BO25" i="20"/>
  <c r="BO27" i="20" s="1"/>
  <c r="BQ28" i="10"/>
  <c r="BP15" i="37"/>
  <c r="BQ60" i="12"/>
  <c r="BO34" i="17"/>
  <c r="BO35" i="17" s="1"/>
  <c r="BO13" i="17" s="1"/>
  <c r="BO15" i="17" s="1"/>
  <c r="BO48" i="17"/>
  <c r="BP11" i="37"/>
  <c r="BP20" i="17"/>
  <c r="BP22" i="17" s="1"/>
  <c r="BP13" i="15"/>
  <c r="BP14" i="15" s="1"/>
  <c r="BP21" i="13"/>
  <c r="BP24" i="13" s="1"/>
  <c r="BP48" i="12"/>
  <c r="BP50" i="12" s="1"/>
  <c r="BP39" i="12"/>
  <c r="BP17" i="9"/>
  <c r="BP18" i="9" s="1"/>
  <c r="BJ11" i="31"/>
  <c r="BD26" i="51" s="1"/>
  <c r="BJ9" i="8"/>
  <c r="BK11" i="9"/>
  <c r="BO22" i="34"/>
  <c r="BI61" i="51" s="1"/>
  <c r="BN37" i="9"/>
  <c r="BN38" i="9" s="1"/>
  <c r="AB22" i="29"/>
  <c r="BO48" i="18"/>
  <c r="BO34" i="18"/>
  <c r="BO35" i="18" s="1"/>
  <c r="BO13" i="18" s="1"/>
  <c r="BO15" i="18" s="1"/>
  <c r="BP17" i="37"/>
  <c r="BQ70" i="12"/>
  <c r="BP17" i="11"/>
  <c r="BP18" i="11" s="1"/>
  <c r="BO16" i="28"/>
  <c r="BI12" i="51" s="1"/>
  <c r="BP21" i="19"/>
  <c r="BP43" i="15"/>
  <c r="BP45" i="15" s="1"/>
  <c r="BP21" i="15"/>
  <c r="BJ12" i="31" l="1"/>
  <c r="BD27" i="51" s="1"/>
  <c r="BP10" i="31"/>
  <c r="BJ25" i="51" s="1"/>
  <c r="BQ41" i="15"/>
  <c r="BO16" i="31"/>
  <c r="BI31" i="51" s="1"/>
  <c r="BP11" i="17"/>
  <c r="BP17" i="34"/>
  <c r="BJ56" i="51" s="1"/>
  <c r="BP12" i="17"/>
  <c r="BP27" i="17"/>
  <c r="BL20" i="31"/>
  <c r="BF35" i="51" s="1"/>
  <c r="BM75" i="20"/>
  <c r="BO40" i="20"/>
  <c r="BO41" i="20" s="1"/>
  <c r="BO46" i="20" s="1"/>
  <c r="BO47" i="20" s="1"/>
  <c r="BO35" i="20"/>
  <c r="BO36" i="20" s="1"/>
  <c r="BP33" i="20" s="1"/>
  <c r="BL11" i="34"/>
  <c r="BF50" i="51" s="1"/>
  <c r="BO18" i="31"/>
  <c r="BI33" i="51" s="1"/>
  <c r="BP11" i="18"/>
  <c r="BO23" i="34"/>
  <c r="BI62" i="51" s="1"/>
  <c r="H20" i="36"/>
  <c r="H20" i="34"/>
  <c r="H20" i="35"/>
  <c r="H20" i="25"/>
  <c r="BN25" i="31"/>
  <c r="BH40" i="51" s="1"/>
  <c r="BN28" i="9"/>
  <c r="BN30" i="9" s="1"/>
  <c r="BO36" i="9"/>
  <c r="AB25" i="32"/>
  <c r="BP29" i="15"/>
  <c r="BP10" i="12"/>
  <c r="BP11" i="12" s="1"/>
  <c r="BP10" i="34"/>
  <c r="BJ49" i="51" s="1"/>
  <c r="BO17" i="28"/>
  <c r="BI13" i="51" s="1"/>
  <c r="BP8" i="28"/>
  <c r="BJ4" i="51" s="1"/>
  <c r="BP19" i="16"/>
  <c r="BP21" i="16" s="1"/>
  <c r="BP26" i="11"/>
  <c r="BP27" i="11" s="1"/>
  <c r="BK29" i="34"/>
  <c r="BE68" i="51" s="1"/>
  <c r="AA26" i="35"/>
  <c r="BO47" i="16"/>
  <c r="BO33" i="16"/>
  <c r="BO34" i="16" s="1"/>
  <c r="BO13" i="16" s="1"/>
  <c r="BO15" i="16" s="1"/>
  <c r="BP12" i="37"/>
  <c r="BP12" i="13"/>
  <c r="BP13" i="13" s="1"/>
  <c r="BQ47" i="12"/>
  <c r="BQ27" i="10"/>
  <c r="BQ29" i="10" s="1"/>
  <c r="BO25" i="34"/>
  <c r="BI64" i="51" s="1"/>
  <c r="BP8" i="31"/>
  <c r="BJ23" i="51" s="1"/>
  <c r="BQ20" i="13"/>
  <c r="BP48" i="19"/>
  <c r="BP32" i="15"/>
  <c r="BP15" i="15"/>
  <c r="BP11" i="28" l="1"/>
  <c r="BJ7" i="51" s="1"/>
  <c r="BL12" i="34"/>
  <c r="BF51" i="51" s="1"/>
  <c r="BO19" i="28"/>
  <c r="BI15" i="51" s="1"/>
  <c r="BL21" i="31"/>
  <c r="BF36" i="51" s="1"/>
  <c r="BJ22" i="9"/>
  <c r="BJ24" i="9" s="1"/>
  <c r="BO24" i="34"/>
  <c r="BI63" i="51" s="1"/>
  <c r="BO81" i="20"/>
  <c r="BO76" i="20"/>
  <c r="BO48" i="20"/>
  <c r="BL15" i="34"/>
  <c r="BF54" i="51" s="1"/>
  <c r="BP26" i="20"/>
  <c r="BN27" i="31"/>
  <c r="BH42" i="51" s="1"/>
  <c r="BN16" i="22"/>
  <c r="AB27" i="32"/>
  <c r="BK12" i="9"/>
  <c r="BK13" i="9" s="1"/>
  <c r="AA29" i="35"/>
  <c r="BQ53" i="12"/>
  <c r="BQ54" i="12" s="1"/>
  <c r="BQ11" i="11"/>
  <c r="BQ12" i="11" s="1"/>
  <c r="BQ23" i="10"/>
  <c r="BQ24" i="10" s="1"/>
  <c r="H29" i="10"/>
  <c r="BP40" i="17"/>
  <c r="BP41" i="17" s="1"/>
  <c r="BP40" i="18"/>
  <c r="BP41" i="18" s="1"/>
  <c r="BP27" i="18"/>
  <c r="BP28" i="18" s="1"/>
  <c r="BO17" i="31"/>
  <c r="BI32" i="51" s="1"/>
  <c r="BP11" i="16"/>
  <c r="BP14" i="31"/>
  <c r="BJ29" i="51" s="1"/>
  <c r="BQ24" i="11"/>
  <c r="BP9" i="19"/>
  <c r="BP11" i="19" s="1"/>
  <c r="BP22" i="19" s="1"/>
  <c r="BP23" i="19" s="1"/>
  <c r="BP30" i="15"/>
  <c r="BP36" i="15" s="1"/>
  <c r="BM66" i="20"/>
  <c r="BM68" i="20" s="1"/>
  <c r="BQ11" i="13"/>
  <c r="BP14" i="13"/>
  <c r="BP30" i="13"/>
  <c r="BP33" i="13" s="1"/>
  <c r="BP19" i="34"/>
  <c r="BJ58" i="51" s="1"/>
  <c r="BP26" i="16"/>
  <c r="BP12" i="16"/>
  <c r="BQ25" i="12"/>
  <c r="BP14" i="34"/>
  <c r="BJ53" i="51" s="1"/>
  <c r="BP9" i="20"/>
  <c r="BP10" i="20" s="1"/>
  <c r="BL23" i="9" l="1"/>
  <c r="BO82" i="20"/>
  <c r="BJ23" i="31"/>
  <c r="BD38" i="51" s="1"/>
  <c r="BJ15" i="22"/>
  <c r="BJ17" i="22" s="1"/>
  <c r="BJ21" i="22" s="1"/>
  <c r="BP15" i="31"/>
  <c r="BJ30" i="51" s="1"/>
  <c r="BQ28" i="15"/>
  <c r="BM77" i="20"/>
  <c r="BM78" i="20" s="1"/>
  <c r="BM69" i="20"/>
  <c r="BQ10" i="37"/>
  <c r="BQ24" i="12"/>
  <c r="BQ26" i="12" s="1"/>
  <c r="K10" i="38"/>
  <c r="L10" i="38"/>
  <c r="AC10" i="38"/>
  <c r="N10" i="26"/>
  <c r="S10" i="39"/>
  <c r="BQ16" i="19"/>
  <c r="BQ17" i="19" s="1"/>
  <c r="BQ42" i="15"/>
  <c r="BQ20" i="15"/>
  <c r="BQ25" i="11"/>
  <c r="H12" i="11"/>
  <c r="BP49" i="19"/>
  <c r="BP51" i="19" s="1"/>
  <c r="BP36" i="19" s="1"/>
  <c r="BQ37" i="19" s="1"/>
  <c r="BP30" i="19"/>
  <c r="BP32" i="19" s="1"/>
  <c r="BP14" i="18"/>
  <c r="BP29" i="18"/>
  <c r="BQ16" i="37"/>
  <c r="BQ71" i="12"/>
  <c r="BQ73" i="12" s="1"/>
  <c r="BQ63" i="12"/>
  <c r="BQ65" i="12" s="1"/>
  <c r="M16" i="38"/>
  <c r="J16" i="26"/>
  <c r="J16" i="39"/>
  <c r="K16" i="38"/>
  <c r="H54" i="12"/>
  <c r="K16" i="39"/>
  <c r="L16" i="38"/>
  <c r="K16" i="26"/>
  <c r="M16" i="39"/>
  <c r="N16" i="39"/>
  <c r="L16" i="26"/>
  <c r="O16" i="39"/>
  <c r="M16" i="26"/>
  <c r="P16" i="39"/>
  <c r="Q16" i="39"/>
  <c r="N16" i="26"/>
  <c r="R16" i="39"/>
  <c r="S16" i="39"/>
  <c r="AC16" i="38"/>
  <c r="BP42" i="18"/>
  <c r="BP46" i="18"/>
  <c r="BP47" i="18" s="1"/>
  <c r="BP33" i="18"/>
  <c r="BK11" i="31"/>
  <c r="BE26" i="51" s="1"/>
  <c r="BK9" i="8"/>
  <c r="BL11" i="9"/>
  <c r="AA11" i="32"/>
  <c r="R11" i="33"/>
  <c r="BL26" i="34"/>
  <c r="BF65" i="51" s="1"/>
  <c r="BO21" i="28"/>
  <c r="BI17" i="51" s="1"/>
  <c r="BP34" i="13"/>
  <c r="BP9" i="31" s="1"/>
  <c r="BJ24" i="51" s="1"/>
  <c r="BQ29" i="13"/>
  <c r="BP39" i="16"/>
  <c r="BP40" i="16" s="1"/>
  <c r="BP33" i="17"/>
  <c r="BP42" i="17"/>
  <c r="BP46" i="17"/>
  <c r="BP47" i="17" s="1"/>
  <c r="BP13" i="28"/>
  <c r="BJ9" i="51" s="1"/>
  <c r="BP20" i="20"/>
  <c r="BP21" i="20" s="1"/>
  <c r="BP34" i="20" s="1"/>
  <c r="BP14" i="20"/>
  <c r="BP15" i="20" s="1"/>
  <c r="H53" i="12"/>
  <c r="H11" i="11"/>
  <c r="H23" i="10"/>
  <c r="BP14" i="28" l="1"/>
  <c r="BJ10" i="51" s="1"/>
  <c r="BK12" i="31"/>
  <c r="BE27" i="51" s="1"/>
  <c r="BO22" i="28"/>
  <c r="BI18" i="51" s="1"/>
  <c r="BP48" i="17"/>
  <c r="BP34" i="17"/>
  <c r="BP35" i="17" s="1"/>
  <c r="BP13" i="17" s="1"/>
  <c r="BP15" i="17" s="1"/>
  <c r="H16" i="19"/>
  <c r="H42" i="15"/>
  <c r="H20" i="15"/>
  <c r="H25" i="11"/>
  <c r="BO37" i="9"/>
  <c r="BO38" i="9" s="1"/>
  <c r="BK22" i="9"/>
  <c r="BK24" i="9" s="1"/>
  <c r="AA12" i="32"/>
  <c r="R12" i="33"/>
  <c r="BQ15" i="37"/>
  <c r="S15" i="39"/>
  <c r="AC15" i="38"/>
  <c r="N15" i="26"/>
  <c r="BP16" i="28"/>
  <c r="BJ12" i="51" s="1"/>
  <c r="BP39" i="20"/>
  <c r="BP25" i="20"/>
  <c r="BP27" i="20" s="1"/>
  <c r="BQ17" i="37"/>
  <c r="BQ17" i="11"/>
  <c r="BQ18" i="11" s="1"/>
  <c r="AC17" i="38"/>
  <c r="N17" i="26"/>
  <c r="S17" i="39"/>
  <c r="BQ31" i="12"/>
  <c r="BQ33" i="12" s="1"/>
  <c r="H26" i="12"/>
  <c r="H31" i="12" s="1"/>
  <c r="BP32" i="16"/>
  <c r="BP45" i="16"/>
  <c r="BP46" i="16" s="1"/>
  <c r="BP41" i="16"/>
  <c r="BL29" i="34"/>
  <c r="BF68" i="51" s="1"/>
  <c r="BP48" i="18"/>
  <c r="BP34" i="18"/>
  <c r="BP35" i="18" s="1"/>
  <c r="BP13" i="18" s="1"/>
  <c r="BP15" i="18" s="1"/>
  <c r="H16" i="39"/>
  <c r="H16" i="38"/>
  <c r="H16" i="37"/>
  <c r="H16" i="26"/>
  <c r="H63" i="12"/>
  <c r="H71" i="12"/>
  <c r="BP22" i="34"/>
  <c r="BJ61" i="51" s="1"/>
  <c r="BQ21" i="19"/>
  <c r="BQ21" i="15"/>
  <c r="BQ43" i="15"/>
  <c r="BQ45" i="15" s="1"/>
  <c r="H17" i="19"/>
  <c r="BM11" i="34"/>
  <c r="BG50" i="51" s="1"/>
  <c r="BP18" i="28"/>
  <c r="BJ14" i="51" s="1"/>
  <c r="BM20" i="31"/>
  <c r="BG35" i="51" s="1"/>
  <c r="BN75" i="20"/>
  <c r="BP19" i="31"/>
  <c r="BJ34" i="51" s="1"/>
  <c r="BQ29" i="19"/>
  <c r="BQ38" i="19"/>
  <c r="BQ31" i="19"/>
  <c r="H37" i="19"/>
  <c r="H31" i="19" s="1"/>
  <c r="BM21" i="31" l="1"/>
  <c r="BG36" i="51" s="1"/>
  <c r="BM12" i="34"/>
  <c r="BG51" i="51" s="1"/>
  <c r="BP18" i="31"/>
  <c r="BJ33" i="51" s="1"/>
  <c r="BQ11" i="18"/>
  <c r="BO25" i="31"/>
  <c r="BI40" i="51" s="1"/>
  <c r="BO28" i="9"/>
  <c r="BO30" i="9" s="1"/>
  <c r="BP36" i="9"/>
  <c r="BP17" i="28"/>
  <c r="BJ13" i="51" s="1"/>
  <c r="BQ8" i="28"/>
  <c r="BK4" i="51" s="1"/>
  <c r="BQ19" i="16"/>
  <c r="BQ21" i="16" s="1"/>
  <c r="BQ26" i="11"/>
  <c r="BQ27" i="11" s="1"/>
  <c r="M8" i="29"/>
  <c r="J8" i="23"/>
  <c r="D4" i="50" s="1"/>
  <c r="J8" i="30"/>
  <c r="H18" i="11"/>
  <c r="K8" i="29"/>
  <c r="K8" i="23"/>
  <c r="E4" i="50" s="1"/>
  <c r="M8" i="30"/>
  <c r="N8" i="30"/>
  <c r="L8" i="23"/>
  <c r="F4" i="50" s="1"/>
  <c r="O8" i="30"/>
  <c r="M8" i="23"/>
  <c r="G4" i="50" s="1"/>
  <c r="P8" i="30"/>
  <c r="Q8" i="30"/>
  <c r="N8" i="23"/>
  <c r="H4" i="50" s="1"/>
  <c r="R8" i="30"/>
  <c r="S8" i="30"/>
  <c r="AC8" i="29"/>
  <c r="BP16" i="31"/>
  <c r="BJ31" i="51" s="1"/>
  <c r="BQ11" i="17"/>
  <c r="BQ48" i="19"/>
  <c r="BP25" i="34"/>
  <c r="BJ64" i="51" s="1"/>
  <c r="BP33" i="16"/>
  <c r="BP34" i="16" s="1"/>
  <c r="BP13" i="16" s="1"/>
  <c r="BP15" i="16" s="1"/>
  <c r="BP47" i="16"/>
  <c r="BP40" i="20"/>
  <c r="BP41" i="20" s="1"/>
  <c r="BP46" i="20" s="1"/>
  <c r="BP47" i="20" s="1"/>
  <c r="BP35" i="20"/>
  <c r="BP36" i="20" s="1"/>
  <c r="BQ33" i="20" s="1"/>
  <c r="BN66" i="20"/>
  <c r="BN68" i="20" s="1"/>
  <c r="BM15" i="34"/>
  <c r="BG54" i="51" s="1"/>
  <c r="BQ10" i="34"/>
  <c r="BK49" i="51" s="1"/>
  <c r="M10" i="35"/>
  <c r="J10" i="36"/>
  <c r="J10" i="25"/>
  <c r="D49" i="50" s="1"/>
  <c r="K10" i="35"/>
  <c r="H38" i="19"/>
  <c r="K10" i="36"/>
  <c r="K10" i="25"/>
  <c r="E49" i="50" s="1"/>
  <c r="L10" i="36"/>
  <c r="M10" i="36"/>
  <c r="N10" i="36"/>
  <c r="L10" i="25"/>
  <c r="F49" i="50" s="1"/>
  <c r="O10" i="36"/>
  <c r="P10" i="36"/>
  <c r="M10" i="25"/>
  <c r="G49" i="50" s="1"/>
  <c r="Q10" i="36"/>
  <c r="R10" i="36"/>
  <c r="N10" i="25"/>
  <c r="H49" i="50" s="1"/>
  <c r="S10" i="36"/>
  <c r="AC10" i="35"/>
  <c r="H21" i="19"/>
  <c r="H43" i="15"/>
  <c r="H21" i="15"/>
  <c r="BL12" i="9"/>
  <c r="BL13" i="9" s="1"/>
  <c r="BQ11" i="37"/>
  <c r="BQ20" i="17"/>
  <c r="BQ22" i="17" s="1"/>
  <c r="BQ13" i="15"/>
  <c r="BQ14" i="15" s="1"/>
  <c r="BQ21" i="13"/>
  <c r="BQ24" i="13" s="1"/>
  <c r="BQ48" i="12"/>
  <c r="BQ50" i="12" s="1"/>
  <c r="BQ39" i="12"/>
  <c r="BQ17" i="9"/>
  <c r="BQ18" i="9" s="1"/>
  <c r="K11" i="39"/>
  <c r="J11" i="26"/>
  <c r="L11" i="38"/>
  <c r="H33" i="12"/>
  <c r="K11" i="26"/>
  <c r="M11" i="39"/>
  <c r="N11" i="39"/>
  <c r="L11" i="26"/>
  <c r="O11" i="39"/>
  <c r="P11" i="39"/>
  <c r="M11" i="26"/>
  <c r="Q11" i="39"/>
  <c r="N11" i="26"/>
  <c r="R11" i="39"/>
  <c r="S11" i="39"/>
  <c r="AC11" i="38"/>
  <c r="BK23" i="31"/>
  <c r="BE38" i="51" s="1"/>
  <c r="BK15" i="22"/>
  <c r="BK17" i="22" s="1"/>
  <c r="BK21" i="22" s="1"/>
  <c r="AA23" i="32"/>
  <c r="R23" i="33"/>
  <c r="BQ10" i="31"/>
  <c r="BK25" i="51" s="1"/>
  <c r="AC10" i="32"/>
  <c r="S10" i="33"/>
  <c r="N10" i="24"/>
  <c r="H25" i="50" s="1"/>
  <c r="BP23" i="34"/>
  <c r="BJ62" i="51" s="1"/>
  <c r="BQ11" i="28" l="1"/>
  <c r="BK7" i="51" s="1"/>
  <c r="BP19" i="28"/>
  <c r="BJ15" i="51" s="1"/>
  <c r="BM23" i="9"/>
  <c r="BP81" i="20"/>
  <c r="BP76" i="20"/>
  <c r="BP48" i="20"/>
  <c r="BN77" i="20"/>
  <c r="BN78" i="20" s="1"/>
  <c r="BN69" i="20"/>
  <c r="BQ26" i="20"/>
  <c r="H8" i="29"/>
  <c r="H8" i="30"/>
  <c r="H8" i="28"/>
  <c r="H8" i="23"/>
  <c r="H19" i="16"/>
  <c r="H26" i="11"/>
  <c r="BP82" i="20"/>
  <c r="BQ29" i="15"/>
  <c r="BQ10" i="12"/>
  <c r="BQ11" i="12" s="1"/>
  <c r="H18" i="9"/>
  <c r="BQ40" i="17"/>
  <c r="BQ41" i="17" s="1"/>
  <c r="BL11" i="31"/>
  <c r="BF26" i="51" s="1"/>
  <c r="BM11" i="9"/>
  <c r="BL9" i="8"/>
  <c r="BP17" i="31"/>
  <c r="BJ32" i="51" s="1"/>
  <c r="BQ11" i="16"/>
  <c r="BO27" i="31"/>
  <c r="BI42" i="51" s="1"/>
  <c r="BO16" i="22"/>
  <c r="BQ12" i="37"/>
  <c r="BQ12" i="13"/>
  <c r="BQ13" i="13" s="1"/>
  <c r="L12" i="38"/>
  <c r="N12" i="26"/>
  <c r="AC12" i="38"/>
  <c r="S12" i="39"/>
  <c r="BP24" i="34"/>
  <c r="BJ63" i="51" s="1"/>
  <c r="BQ8" i="31"/>
  <c r="BK23" i="51" s="1"/>
  <c r="L8" i="32"/>
  <c r="S8" i="33"/>
  <c r="N8" i="24"/>
  <c r="H23" i="50" s="1"/>
  <c r="AC8" i="32"/>
  <c r="H10" i="36"/>
  <c r="H10" i="35"/>
  <c r="H10" i="34"/>
  <c r="H10" i="25"/>
  <c r="BQ14" i="31"/>
  <c r="BK29" i="51" s="1"/>
  <c r="J14" i="33"/>
  <c r="AC14" i="32"/>
  <c r="S14" i="33"/>
  <c r="N14" i="24"/>
  <c r="H29" i="50" s="1"/>
  <c r="H11" i="39"/>
  <c r="H11" i="38"/>
  <c r="H11" i="37"/>
  <c r="H11" i="26"/>
  <c r="H20" i="17"/>
  <c r="H13" i="15"/>
  <c r="H21" i="13"/>
  <c r="H48" i="12"/>
  <c r="H39" i="12"/>
  <c r="H17" i="9"/>
  <c r="BQ15" i="15"/>
  <c r="BQ32" i="15"/>
  <c r="H14" i="15"/>
  <c r="H32" i="15" s="1"/>
  <c r="BM26" i="34"/>
  <c r="BG65" i="51" s="1"/>
  <c r="BQ19" i="34"/>
  <c r="BK58" i="51" s="1"/>
  <c r="BQ12" i="16"/>
  <c r="BQ26" i="16"/>
  <c r="L19" i="35"/>
  <c r="M19" i="35"/>
  <c r="J19" i="25"/>
  <c r="D58" i="50" s="1"/>
  <c r="J19" i="36"/>
  <c r="H21" i="16"/>
  <c r="K19" i="35"/>
  <c r="K19" i="25"/>
  <c r="E58" i="50" s="1"/>
  <c r="M19" i="36"/>
  <c r="N19" i="36"/>
  <c r="L19" i="25"/>
  <c r="F58" i="50" s="1"/>
  <c r="O19" i="36"/>
  <c r="M19" i="25"/>
  <c r="G58" i="50" s="1"/>
  <c r="P19" i="36"/>
  <c r="Q19" i="36"/>
  <c r="N19" i="25"/>
  <c r="H58" i="50" s="1"/>
  <c r="R19" i="36"/>
  <c r="S19" i="36"/>
  <c r="AC19" i="35"/>
  <c r="BQ27" i="18"/>
  <c r="BQ28" i="18" s="1"/>
  <c r="BQ40" i="18"/>
  <c r="BQ41" i="18" s="1"/>
  <c r="BQ17" i="34"/>
  <c r="BK56" i="51" s="1"/>
  <c r="BQ27" i="17"/>
  <c r="BQ12" i="17"/>
  <c r="L17" i="35"/>
  <c r="J17" i="25"/>
  <c r="D56" i="50" s="1"/>
  <c r="H22" i="17"/>
  <c r="M17" i="35"/>
  <c r="K17" i="36"/>
  <c r="K17" i="25"/>
  <c r="E56" i="50" s="1"/>
  <c r="M17" i="36"/>
  <c r="N17" i="36"/>
  <c r="L17" i="25"/>
  <c r="F56" i="50" s="1"/>
  <c r="O17" i="36"/>
  <c r="M17" i="25"/>
  <c r="G56" i="50" s="1"/>
  <c r="P17" i="36"/>
  <c r="Q17" i="36"/>
  <c r="N17" i="25"/>
  <c r="H56" i="50" s="1"/>
  <c r="R17" i="36"/>
  <c r="S17" i="36"/>
  <c r="AC17" i="35"/>
  <c r="BQ9" i="20"/>
  <c r="BQ10" i="20" s="1"/>
  <c r="M11" i="29"/>
  <c r="K11" i="30"/>
  <c r="L11" i="29"/>
  <c r="K11" i="23"/>
  <c r="E7" i="50" s="1"/>
  <c r="H11" i="28"/>
  <c r="H9" i="20" s="1"/>
  <c r="M11" i="30"/>
  <c r="L11" i="23"/>
  <c r="F7" i="50" s="1"/>
  <c r="N11" i="30"/>
  <c r="O11" i="30"/>
  <c r="M11" i="23"/>
  <c r="G7" i="50" s="1"/>
  <c r="P11" i="30"/>
  <c r="Q11" i="30"/>
  <c r="N11" i="23"/>
  <c r="H7" i="50" s="1"/>
  <c r="R11" i="30"/>
  <c r="S11" i="30"/>
  <c r="AC11" i="29"/>
  <c r="BL12" i="31" l="1"/>
  <c r="BF27" i="51" s="1"/>
  <c r="H11" i="29"/>
  <c r="H11" i="23"/>
  <c r="H19" i="35"/>
  <c r="H19" i="34"/>
  <c r="H19" i="36"/>
  <c r="H19" i="25"/>
  <c r="H26" i="16"/>
  <c r="H12" i="16"/>
  <c r="BQ46" i="17"/>
  <c r="BQ47" i="17" s="1"/>
  <c r="BQ33" i="17"/>
  <c r="BQ42" i="17"/>
  <c r="H41" i="17"/>
  <c r="BQ33" i="18"/>
  <c r="BQ46" i="18"/>
  <c r="BQ47" i="18" s="1"/>
  <c r="BQ42" i="18"/>
  <c r="H41" i="18"/>
  <c r="BQ39" i="16"/>
  <c r="BQ40" i="16" s="1"/>
  <c r="BN11" i="34"/>
  <c r="BH50" i="51" s="1"/>
  <c r="AB11" i="35"/>
  <c r="H11" i="30"/>
  <c r="BQ14" i="20"/>
  <c r="BQ15" i="20" s="1"/>
  <c r="BQ20" i="20"/>
  <c r="BQ21" i="20" s="1"/>
  <c r="H10" i="20"/>
  <c r="H17" i="35"/>
  <c r="H17" i="36"/>
  <c r="H17" i="34"/>
  <c r="H17" i="25"/>
  <c r="H12" i="17"/>
  <c r="H27" i="17"/>
  <c r="BQ14" i="18"/>
  <c r="BQ29" i="18"/>
  <c r="H28" i="18"/>
  <c r="H14" i="18" s="1"/>
  <c r="BM29" i="34"/>
  <c r="BG68" i="51" s="1"/>
  <c r="H29" i="15"/>
  <c r="H10" i="12"/>
  <c r="BN20" i="31"/>
  <c r="BH35" i="51" s="1"/>
  <c r="BO75" i="20"/>
  <c r="AB20" i="32"/>
  <c r="BQ9" i="19"/>
  <c r="BQ11" i="19" s="1"/>
  <c r="BQ30" i="15"/>
  <c r="BQ36" i="15" s="1"/>
  <c r="H11" i="12"/>
  <c r="BP21" i="28"/>
  <c r="BJ17" i="51" s="1"/>
  <c r="BQ30" i="13"/>
  <c r="BQ33" i="13" s="1"/>
  <c r="BQ34" i="13" s="1"/>
  <c r="BQ14" i="13"/>
  <c r="H13" i="13"/>
  <c r="H30" i="13" s="1"/>
  <c r="BQ14" i="34"/>
  <c r="BK53" i="51" s="1"/>
  <c r="M14" i="35"/>
  <c r="K14" i="36"/>
  <c r="L14" i="35"/>
  <c r="J14" i="25"/>
  <c r="D53" i="50" s="1"/>
  <c r="H15" i="15"/>
  <c r="K14" i="25"/>
  <c r="E53" i="50" s="1"/>
  <c r="M14" i="36"/>
  <c r="L14" i="25"/>
  <c r="F53" i="50" s="1"/>
  <c r="N14" i="36"/>
  <c r="O14" i="36"/>
  <c r="M14" i="25"/>
  <c r="G53" i="50" s="1"/>
  <c r="P14" i="36"/>
  <c r="Q14" i="36"/>
  <c r="R14" i="36"/>
  <c r="N14" i="25"/>
  <c r="H53" i="50" s="1"/>
  <c r="S14" i="36"/>
  <c r="AC14" i="35"/>
  <c r="BN21" i="31" l="1"/>
  <c r="BH36" i="51" s="1"/>
  <c r="BP22" i="28"/>
  <c r="BJ18" i="51" s="1"/>
  <c r="BN12" i="34"/>
  <c r="BH51" i="51" s="1"/>
  <c r="BL22" i="9"/>
  <c r="BL24" i="9" s="1"/>
  <c r="BN23" i="9"/>
  <c r="AB21" i="32"/>
  <c r="BQ34" i="20"/>
  <c r="H21" i="20"/>
  <c r="H34" i="20" s="1"/>
  <c r="H33" i="18"/>
  <c r="H46" i="18"/>
  <c r="BQ39" i="20"/>
  <c r="BQ25" i="20"/>
  <c r="BQ27" i="20" s="1"/>
  <c r="H15" i="20"/>
  <c r="BQ18" i="28"/>
  <c r="BK14" i="51" s="1"/>
  <c r="M18" i="29"/>
  <c r="J18" i="23"/>
  <c r="D14" i="50" s="1"/>
  <c r="J18" i="30"/>
  <c r="K18" i="29"/>
  <c r="H42" i="18"/>
  <c r="L18" i="29"/>
  <c r="K18" i="30"/>
  <c r="L18" i="30"/>
  <c r="K18" i="23"/>
  <c r="E14" i="50" s="1"/>
  <c r="M18" i="30"/>
  <c r="N18" i="30"/>
  <c r="L18" i="23"/>
  <c r="F14" i="50" s="1"/>
  <c r="O18" i="30"/>
  <c r="M18" i="23"/>
  <c r="G14" i="50" s="1"/>
  <c r="P18" i="30"/>
  <c r="Q18" i="30"/>
  <c r="R18" i="30"/>
  <c r="N18" i="23"/>
  <c r="H14" i="50" s="1"/>
  <c r="S18" i="30"/>
  <c r="AC18" i="29"/>
  <c r="BP37" i="9"/>
  <c r="BP38" i="9" s="1"/>
  <c r="BQ48" i="18"/>
  <c r="BQ34" i="18"/>
  <c r="BQ35" i="18" s="1"/>
  <c r="H47" i="18"/>
  <c r="H34" i="18" s="1"/>
  <c r="H9" i="19"/>
  <c r="H30" i="15"/>
  <c r="H33" i="17"/>
  <c r="H46" i="17"/>
  <c r="BQ22" i="19"/>
  <c r="BQ23" i="19" s="1"/>
  <c r="H11" i="19"/>
  <c r="H22" i="19" s="1"/>
  <c r="BM12" i="9"/>
  <c r="BM13" i="9" s="1"/>
  <c r="BN15" i="34"/>
  <c r="BH54" i="51" s="1"/>
  <c r="AB12" i="35"/>
  <c r="BQ16" i="28"/>
  <c r="BK12" i="51" s="1"/>
  <c r="M16" i="29"/>
  <c r="J16" i="23"/>
  <c r="D12" i="50" s="1"/>
  <c r="J16" i="30"/>
  <c r="K16" i="29"/>
  <c r="H42" i="17"/>
  <c r="K16" i="30"/>
  <c r="L16" i="29"/>
  <c r="L16" i="30"/>
  <c r="K16" i="23"/>
  <c r="E12" i="50" s="1"/>
  <c r="M16" i="30"/>
  <c r="N16" i="30"/>
  <c r="L16" i="23"/>
  <c r="F12" i="50" s="1"/>
  <c r="O16" i="30"/>
  <c r="P16" i="30"/>
  <c r="M16" i="23"/>
  <c r="G12" i="50" s="1"/>
  <c r="Q16" i="30"/>
  <c r="R16" i="30"/>
  <c r="N16" i="23"/>
  <c r="H12" i="50" s="1"/>
  <c r="S16" i="30"/>
  <c r="AC16" i="29"/>
  <c r="H14" i="36"/>
  <c r="H14" i="35"/>
  <c r="H14" i="34"/>
  <c r="H14" i="25"/>
  <c r="BQ13" i="28"/>
  <c r="BK9" i="51" s="1"/>
  <c r="M13" i="29"/>
  <c r="J13" i="30"/>
  <c r="J13" i="23"/>
  <c r="D9" i="50" s="1"/>
  <c r="K13" i="29"/>
  <c r="H14" i="13"/>
  <c r="L13" i="29"/>
  <c r="K13" i="30"/>
  <c r="K13" i="23"/>
  <c r="E9" i="50" s="1"/>
  <c r="L13" i="30"/>
  <c r="M13" i="30"/>
  <c r="L13" i="23"/>
  <c r="F9" i="50" s="1"/>
  <c r="N13" i="30"/>
  <c r="O13" i="30"/>
  <c r="P13" i="30"/>
  <c r="M13" i="23"/>
  <c r="G9" i="50" s="1"/>
  <c r="Q13" i="30"/>
  <c r="R13" i="30"/>
  <c r="N13" i="23"/>
  <c r="H9" i="50" s="1"/>
  <c r="S13" i="30"/>
  <c r="AC13" i="29"/>
  <c r="BQ15" i="31"/>
  <c r="BK30" i="51" s="1"/>
  <c r="L15" i="32"/>
  <c r="N15" i="24"/>
  <c r="H30" i="50" s="1"/>
  <c r="AC15" i="32"/>
  <c r="S15" i="33"/>
  <c r="BQ9" i="31"/>
  <c r="BK24" i="51" s="1"/>
  <c r="S9" i="33"/>
  <c r="AC9" i="32"/>
  <c r="N9" i="24"/>
  <c r="H24" i="50" s="1"/>
  <c r="BO66" i="20"/>
  <c r="BO68" i="20" s="1"/>
  <c r="BQ22" i="34"/>
  <c r="BK61" i="51" s="1"/>
  <c r="M22" i="35"/>
  <c r="J22" i="25"/>
  <c r="D61" i="50" s="1"/>
  <c r="J22" i="36"/>
  <c r="K22" i="35"/>
  <c r="H29" i="18"/>
  <c r="L22" i="35"/>
  <c r="K22" i="36"/>
  <c r="K22" i="25"/>
  <c r="E61" i="50" s="1"/>
  <c r="L22" i="36"/>
  <c r="M22" i="36"/>
  <c r="L22" i="25"/>
  <c r="F61" i="50" s="1"/>
  <c r="N22" i="36"/>
  <c r="O22" i="36"/>
  <c r="P22" i="36"/>
  <c r="M22" i="25"/>
  <c r="G61" i="50" s="1"/>
  <c r="Q22" i="36"/>
  <c r="R22" i="36"/>
  <c r="N22" i="25"/>
  <c r="H61" i="50" s="1"/>
  <c r="S22" i="36"/>
  <c r="AC22" i="35"/>
  <c r="H20" i="20"/>
  <c r="H14" i="20"/>
  <c r="BQ32" i="16"/>
  <c r="BQ45" i="16"/>
  <c r="BQ46" i="16" s="1"/>
  <c r="BQ41" i="16"/>
  <c r="H40" i="16"/>
  <c r="BQ48" i="17"/>
  <c r="BQ34" i="17"/>
  <c r="BQ35" i="17" s="1"/>
  <c r="H47" i="17"/>
  <c r="H34" i="17" s="1"/>
  <c r="BL23" i="31" l="1"/>
  <c r="BF38" i="51" s="1"/>
  <c r="BL15" i="22"/>
  <c r="BL17" i="22" s="1"/>
  <c r="BL21" i="22" s="1"/>
  <c r="BQ14" i="28"/>
  <c r="BK10" i="51" s="1"/>
  <c r="BQ13" i="17"/>
  <c r="BQ15" i="17" s="1"/>
  <c r="H35" i="17"/>
  <c r="H13" i="17" s="1"/>
  <c r="H22" i="36"/>
  <c r="H22" i="35"/>
  <c r="H22" i="34"/>
  <c r="H22" i="25"/>
  <c r="BQ40" i="20"/>
  <c r="BQ41" i="20" s="1"/>
  <c r="BQ35" i="20"/>
  <c r="H27" i="20"/>
  <c r="H13" i="30"/>
  <c r="H13" i="28"/>
  <c r="H13" i="29"/>
  <c r="H13" i="23"/>
  <c r="BP25" i="31"/>
  <c r="BJ40" i="51" s="1"/>
  <c r="BP28" i="9"/>
  <c r="BP30" i="9" s="1"/>
  <c r="BQ36" i="9"/>
  <c r="H18" i="30"/>
  <c r="H18" i="29"/>
  <c r="H18" i="28"/>
  <c r="H18" i="23"/>
  <c r="BQ23" i="34"/>
  <c r="BK62" i="51" s="1"/>
  <c r="M23" i="35"/>
  <c r="J23" i="36"/>
  <c r="J23" i="25"/>
  <c r="D62" i="50" s="1"/>
  <c r="K23" i="35"/>
  <c r="H48" i="17"/>
  <c r="K23" i="36"/>
  <c r="L23" i="36"/>
  <c r="K23" i="25"/>
  <c r="E62" i="50" s="1"/>
  <c r="M23" i="36"/>
  <c r="L23" i="25"/>
  <c r="F62" i="50" s="1"/>
  <c r="N23" i="36"/>
  <c r="O23" i="36"/>
  <c r="P23" i="36"/>
  <c r="M23" i="25"/>
  <c r="G62" i="50" s="1"/>
  <c r="Q23" i="36"/>
  <c r="N23" i="25"/>
  <c r="H62" i="50" s="1"/>
  <c r="R23" i="36"/>
  <c r="S23" i="36"/>
  <c r="AC23" i="35"/>
  <c r="H16" i="29"/>
  <c r="H16" i="28"/>
  <c r="H16" i="30"/>
  <c r="H16" i="23"/>
  <c r="BN26" i="34"/>
  <c r="BH65" i="51" s="1"/>
  <c r="AB15" i="35"/>
  <c r="BQ13" i="18"/>
  <c r="BQ15" i="18" s="1"/>
  <c r="H35" i="18"/>
  <c r="H13" i="18" s="1"/>
  <c r="BQ17" i="28"/>
  <c r="BK13" i="51" s="1"/>
  <c r="M17" i="29"/>
  <c r="J17" i="23"/>
  <c r="D13" i="50" s="1"/>
  <c r="J17" i="30"/>
  <c r="H41" i="16"/>
  <c r="K17" i="29"/>
  <c r="K17" i="30"/>
  <c r="L17" i="29"/>
  <c r="L17" i="30"/>
  <c r="K17" i="23"/>
  <c r="E13" i="50" s="1"/>
  <c r="M17" i="30"/>
  <c r="L17" i="23"/>
  <c r="F13" i="50" s="1"/>
  <c r="N17" i="30"/>
  <c r="O17" i="30"/>
  <c r="P17" i="30"/>
  <c r="M17" i="23"/>
  <c r="G13" i="50" s="1"/>
  <c r="Q17" i="30"/>
  <c r="N17" i="23"/>
  <c r="H13" i="50" s="1"/>
  <c r="R17" i="30"/>
  <c r="S17" i="30"/>
  <c r="AC17" i="29"/>
  <c r="BM11" i="31"/>
  <c r="BG26" i="51" s="1"/>
  <c r="BN11" i="9"/>
  <c r="BM9" i="8"/>
  <c r="BQ36" i="20"/>
  <c r="BQ33" i="16"/>
  <c r="BQ34" i="16" s="1"/>
  <c r="BQ47" i="16"/>
  <c r="H46" i="16"/>
  <c r="H33" i="16" s="1"/>
  <c r="K14" i="30"/>
  <c r="M14" i="29"/>
  <c r="K14" i="23"/>
  <c r="E10" i="50" s="1"/>
  <c r="H14" i="28"/>
  <c r="M14" i="30"/>
  <c r="L14" i="23"/>
  <c r="F10" i="50" s="1"/>
  <c r="N14" i="30"/>
  <c r="O14" i="30"/>
  <c r="M14" i="23"/>
  <c r="G10" i="50" s="1"/>
  <c r="P14" i="30"/>
  <c r="Q14" i="30"/>
  <c r="N14" i="23"/>
  <c r="H10" i="50" s="1"/>
  <c r="R14" i="30"/>
  <c r="S14" i="30"/>
  <c r="AC14" i="29"/>
  <c r="H32" i="16"/>
  <c r="H45" i="16"/>
  <c r="BO69" i="20"/>
  <c r="BO77" i="20"/>
  <c r="BO78" i="20" s="1"/>
  <c r="BQ30" i="19"/>
  <c r="BQ32" i="19" s="1"/>
  <c r="BQ49" i="19"/>
  <c r="BQ51" i="19" s="1"/>
  <c r="H23" i="19"/>
  <c r="BQ25" i="34"/>
  <c r="BK64" i="51" s="1"/>
  <c r="L25" i="35"/>
  <c r="J25" i="36"/>
  <c r="J25" i="25"/>
  <c r="D64" i="50" s="1"/>
  <c r="K25" i="35"/>
  <c r="H48" i="18"/>
  <c r="K25" i="36"/>
  <c r="K25" i="25"/>
  <c r="E64" i="50" s="1"/>
  <c r="L25" i="36"/>
  <c r="M25" i="36"/>
  <c r="N25" i="36"/>
  <c r="L25" i="25"/>
  <c r="F64" i="50" s="1"/>
  <c r="O25" i="36"/>
  <c r="M25" i="25"/>
  <c r="G64" i="50" s="1"/>
  <c r="P25" i="36"/>
  <c r="Q25" i="36"/>
  <c r="N25" i="25"/>
  <c r="H64" i="50" s="1"/>
  <c r="R25" i="36"/>
  <c r="S25" i="36"/>
  <c r="AC25" i="35"/>
  <c r="H39" i="20"/>
  <c r="H25" i="20"/>
  <c r="BM12" i="31" l="1"/>
  <c r="BG27" i="51" s="1"/>
  <c r="BQ19" i="28"/>
  <c r="BK15" i="51" s="1"/>
  <c r="BQ13" i="16"/>
  <c r="BQ15" i="16" s="1"/>
  <c r="H34" i="16"/>
  <c r="H13" i="16" s="1"/>
  <c r="H49" i="19"/>
  <c r="H30" i="19"/>
  <c r="BP27" i="31"/>
  <c r="BJ42" i="51" s="1"/>
  <c r="BP16" i="22"/>
  <c r="BQ36" i="19"/>
  <c r="H51" i="19"/>
  <c r="H36" i="19" s="1"/>
  <c r="BQ24" i="34"/>
  <c r="BK63" i="51" s="1"/>
  <c r="K24" i="36"/>
  <c r="M24" i="35"/>
  <c r="K24" i="35"/>
  <c r="J24" i="25"/>
  <c r="D63" i="50" s="1"/>
  <c r="J24" i="36"/>
  <c r="H47" i="16"/>
  <c r="L24" i="35"/>
  <c r="L24" i="36"/>
  <c r="K24" i="25"/>
  <c r="E63" i="50" s="1"/>
  <c r="M24" i="36"/>
  <c r="N24" i="36"/>
  <c r="L24" i="25"/>
  <c r="F63" i="50" s="1"/>
  <c r="O24" i="36"/>
  <c r="M24" i="25"/>
  <c r="G63" i="50" s="1"/>
  <c r="P24" i="36"/>
  <c r="Q24" i="36"/>
  <c r="R24" i="36"/>
  <c r="N24" i="25"/>
  <c r="H63" i="50" s="1"/>
  <c r="S24" i="36"/>
  <c r="AC24" i="35"/>
  <c r="BN29" i="34"/>
  <c r="BH68" i="51" s="1"/>
  <c r="AB26" i="35"/>
  <c r="H25" i="35"/>
  <c r="H25" i="36"/>
  <c r="H25" i="34"/>
  <c r="H25" i="25"/>
  <c r="BQ19" i="31"/>
  <c r="BK34" i="51" s="1"/>
  <c r="S19" i="33"/>
  <c r="AC19" i="32"/>
  <c r="N19" i="24"/>
  <c r="H34" i="50" s="1"/>
  <c r="BQ46" i="20"/>
  <c r="BQ47" i="20" s="1"/>
  <c r="H41" i="20"/>
  <c r="H46" i="20" s="1"/>
  <c r="BO20" i="31"/>
  <c r="BI35" i="51" s="1"/>
  <c r="BP75" i="20"/>
  <c r="H14" i="23"/>
  <c r="BO11" i="34"/>
  <c r="BI50" i="51" s="1"/>
  <c r="H14" i="29"/>
  <c r="H23" i="36"/>
  <c r="H23" i="35"/>
  <c r="H23" i="34"/>
  <c r="H23" i="25"/>
  <c r="H14" i="30"/>
  <c r="BQ82" i="20"/>
  <c r="K19" i="23"/>
  <c r="E15" i="50" s="1"/>
  <c r="H19" i="28"/>
  <c r="H82" i="20" s="1"/>
  <c r="M19" i="30"/>
  <c r="N19" i="30"/>
  <c r="L19" i="23"/>
  <c r="F15" i="50" s="1"/>
  <c r="O19" i="30"/>
  <c r="M19" i="23"/>
  <c r="G15" i="50" s="1"/>
  <c r="P19" i="30"/>
  <c r="Q19" i="30"/>
  <c r="N19" i="23"/>
  <c r="H15" i="50" s="1"/>
  <c r="R19" i="30"/>
  <c r="S19" i="30"/>
  <c r="AC19" i="29"/>
  <c r="H19" i="29" s="1"/>
  <c r="BQ18" i="31"/>
  <c r="BK33" i="51" s="1"/>
  <c r="J18" i="33"/>
  <c r="AC18" i="32"/>
  <c r="S18" i="33"/>
  <c r="N18" i="24"/>
  <c r="H33" i="50" s="1"/>
  <c r="H40" i="20"/>
  <c r="H35" i="20"/>
  <c r="H17" i="28"/>
  <c r="H17" i="29"/>
  <c r="H17" i="23"/>
  <c r="H17" i="30"/>
  <c r="BQ16" i="31"/>
  <c r="BK31" i="51" s="1"/>
  <c r="L16" i="32"/>
  <c r="AC16" i="32"/>
  <c r="N16" i="24"/>
  <c r="H31" i="50" s="1"/>
  <c r="S16" i="33"/>
  <c r="BO12" i="34" l="1"/>
  <c r="BI51" i="51" s="1"/>
  <c r="BO21" i="31"/>
  <c r="BI36" i="51" s="1"/>
  <c r="BM22" i="9"/>
  <c r="BM24" i="9" s="1"/>
  <c r="H24" i="36"/>
  <c r="H24" i="35"/>
  <c r="H24" i="34"/>
  <c r="H24" i="25"/>
  <c r="BO15" i="34"/>
  <c r="BI54" i="51" s="1"/>
  <c r="BN12" i="9"/>
  <c r="BN13" i="9" s="1"/>
  <c r="AB29" i="35"/>
  <c r="H19" i="30"/>
  <c r="BP66" i="20"/>
  <c r="BP68" i="20" s="1"/>
  <c r="H19" i="23"/>
  <c r="BQ48" i="20"/>
  <c r="BQ76" i="20"/>
  <c r="BQ81" i="20"/>
  <c r="F83" i="20" s="1"/>
  <c r="H47" i="20"/>
  <c r="BQ17" i="31"/>
  <c r="BK32" i="51" s="1"/>
  <c r="L17" i="32"/>
  <c r="N17" i="24"/>
  <c r="H32" i="50" s="1"/>
  <c r="AC17" i="32"/>
  <c r="S17" i="33"/>
  <c r="BM23" i="31" l="1"/>
  <c r="BG38" i="51" s="1"/>
  <c r="BM15" i="22"/>
  <c r="BM17" i="22" s="1"/>
  <c r="BM21" i="22" s="1"/>
  <c r="BO23" i="9"/>
  <c r="BN11" i="31"/>
  <c r="BH26" i="51" s="1"/>
  <c r="BN9" i="8"/>
  <c r="BO11" i="9"/>
  <c r="AB11" i="32"/>
  <c r="BQ21" i="28"/>
  <c r="BK17" i="51" s="1"/>
  <c r="J21" i="30"/>
  <c r="J21" i="23"/>
  <c r="D17" i="50" s="1"/>
  <c r="K21" i="29"/>
  <c r="H48" i="20"/>
  <c r="L21" i="29"/>
  <c r="K21" i="30"/>
  <c r="L21" i="30"/>
  <c r="K21" i="23"/>
  <c r="E17" i="50" s="1"/>
  <c r="M21" i="30"/>
  <c r="N21" i="30"/>
  <c r="L21" i="23"/>
  <c r="F17" i="50" s="1"/>
  <c r="O21" i="30"/>
  <c r="M21" i="23"/>
  <c r="G17" i="50" s="1"/>
  <c r="P21" i="30"/>
  <c r="Q21" i="30"/>
  <c r="R21" i="30"/>
  <c r="N21" i="23"/>
  <c r="H17" i="50" s="1"/>
  <c r="S21" i="30"/>
  <c r="AC21" i="29"/>
  <c r="BO26" i="34"/>
  <c r="BI65" i="51" s="1"/>
  <c r="BP69" i="20"/>
  <c r="BP77" i="20"/>
  <c r="BP78" i="20" s="1"/>
  <c r="H81" i="20"/>
  <c r="H76" i="20"/>
  <c r="BN12" i="31" l="1"/>
  <c r="BH27" i="51" s="1"/>
  <c r="BQ22" i="28"/>
  <c r="BK18" i="51" s="1"/>
  <c r="BQ37" i="9"/>
  <c r="BQ38" i="9" s="1"/>
  <c r="M22" i="29"/>
  <c r="K22" i="29"/>
  <c r="J22" i="23"/>
  <c r="D18" i="50" s="1"/>
  <c r="J22" i="30"/>
  <c r="H22" i="28"/>
  <c r="H37" i="9" s="1"/>
  <c r="L22" i="29"/>
  <c r="K22" i="30"/>
  <c r="L22" i="30"/>
  <c r="K22" i="23"/>
  <c r="E18" i="50" s="1"/>
  <c r="M22" i="30"/>
  <c r="L22" i="23"/>
  <c r="F18" i="50" s="1"/>
  <c r="N22" i="30"/>
  <c r="O22" i="30"/>
  <c r="P22" i="30"/>
  <c r="M22" i="23"/>
  <c r="G18" i="50" s="1"/>
  <c r="Q22" i="30"/>
  <c r="N22" i="23"/>
  <c r="H18" i="50" s="1"/>
  <c r="R22" i="30"/>
  <c r="S22" i="30"/>
  <c r="AC22" i="29"/>
  <c r="BP11" i="34"/>
  <c r="BJ50" i="51" s="1"/>
  <c r="BP20" i="31"/>
  <c r="BJ35" i="51" s="1"/>
  <c r="BQ75" i="20"/>
  <c r="BO29" i="34"/>
  <c r="BI68" i="51" s="1"/>
  <c r="H21" i="30"/>
  <c r="H21" i="29"/>
  <c r="H21" i="28"/>
  <c r="H21" i="23"/>
  <c r="BN22" i="9"/>
  <c r="BN24" i="9" s="1"/>
  <c r="AB12" i="32"/>
  <c r="BP21" i="31" l="1"/>
  <c r="BJ36" i="51" s="1"/>
  <c r="BP12" i="34"/>
  <c r="BJ51" i="51" s="1"/>
  <c r="BP15" i="34"/>
  <c r="BJ54" i="51" s="1"/>
  <c r="H22" i="30"/>
  <c r="H22" i="23"/>
  <c r="H22" i="29"/>
  <c r="BO12" i="9"/>
  <c r="BO13" i="9" s="1"/>
  <c r="BQ66" i="20"/>
  <c r="BQ68" i="20" s="1"/>
  <c r="BN23" i="31"/>
  <c r="BH38" i="51" s="1"/>
  <c r="BN15" i="22"/>
  <c r="BN17" i="22" s="1"/>
  <c r="BN21" i="22" s="1"/>
  <c r="AB23" i="32"/>
  <c r="BQ25" i="31"/>
  <c r="BK40" i="51" s="1"/>
  <c r="BQ28" i="9"/>
  <c r="BQ30" i="9" s="1"/>
  <c r="L25" i="32"/>
  <c r="N25" i="24"/>
  <c r="H40" i="50" s="1"/>
  <c r="S25" i="33"/>
  <c r="AC25" i="32"/>
  <c r="BP23" i="9" l="1"/>
  <c r="BO11" i="31"/>
  <c r="BI26" i="51" s="1"/>
  <c r="BO9" i="8"/>
  <c r="BP11" i="9"/>
  <c r="BQ27" i="31"/>
  <c r="BK42" i="51" s="1"/>
  <c r="BQ16" i="22"/>
  <c r="L27" i="32"/>
  <c r="S27" i="33"/>
  <c r="AC27" i="32"/>
  <c r="N27" i="24"/>
  <c r="H42" i="50" s="1"/>
  <c r="BQ77" i="20"/>
  <c r="BQ78" i="20" s="1"/>
  <c r="BQ69" i="20"/>
  <c r="H68" i="20"/>
  <c r="H77" i="20" s="1"/>
  <c r="BP26" i="34"/>
  <c r="BJ65" i="51" s="1"/>
  <c r="BO12" i="31" l="1"/>
  <c r="BI27" i="51" s="1"/>
  <c r="BP29" i="34"/>
  <c r="BJ68" i="51" s="1"/>
  <c r="BQ11" i="34"/>
  <c r="BK50" i="51" s="1"/>
  <c r="J11" i="25"/>
  <c r="D50" i="50" s="1"/>
  <c r="J11" i="36"/>
  <c r="K11" i="35"/>
  <c r="H69" i="20"/>
  <c r="L11" i="35"/>
  <c r="K11" i="36"/>
  <c r="L11" i="36"/>
  <c r="K11" i="25"/>
  <c r="E50" i="50" s="1"/>
  <c r="M11" i="36"/>
  <c r="L11" i="25"/>
  <c r="F50" i="50" s="1"/>
  <c r="N11" i="36"/>
  <c r="O11" i="36"/>
  <c r="P11" i="36"/>
  <c r="M11" i="25"/>
  <c r="G50" i="50" s="1"/>
  <c r="Q11" i="36"/>
  <c r="N11" i="25"/>
  <c r="H50" i="50" s="1"/>
  <c r="R11" i="36"/>
  <c r="S11" i="36"/>
  <c r="AC11" i="35"/>
  <c r="BQ20" i="31"/>
  <c r="BK35" i="51" s="1"/>
  <c r="L20" i="32"/>
  <c r="N20" i="24"/>
  <c r="H35" i="50" s="1"/>
  <c r="S20" i="33"/>
  <c r="AC20" i="32"/>
  <c r="BQ21" i="31" l="1"/>
  <c r="BK36" i="51" s="1"/>
  <c r="BQ12" i="34"/>
  <c r="BK51" i="51" s="1"/>
  <c r="BO22" i="9"/>
  <c r="BO24" i="9" s="1"/>
  <c r="BQ23" i="9"/>
  <c r="N21" i="24"/>
  <c r="H36" i="50" s="1"/>
  <c r="AC21" i="32"/>
  <c r="S21" i="33"/>
  <c r="H11" i="36"/>
  <c r="H11" i="35"/>
  <c r="H11" i="34"/>
  <c r="H11" i="25"/>
  <c r="BQ15" i="34"/>
  <c r="BK54" i="51" s="1"/>
  <c r="M12" i="35"/>
  <c r="J12" i="25"/>
  <c r="D51" i="50" s="1"/>
  <c r="J12" i="36"/>
  <c r="K12" i="35"/>
  <c r="K12" i="36"/>
  <c r="L12" i="35"/>
  <c r="K12" i="25"/>
  <c r="E51" i="50" s="1"/>
  <c r="L12" i="36"/>
  <c r="M12" i="36"/>
  <c r="L12" i="25"/>
  <c r="F51" i="50" s="1"/>
  <c r="N12" i="36"/>
  <c r="O12" i="36"/>
  <c r="P12" i="36"/>
  <c r="M12" i="25"/>
  <c r="G51" i="50" s="1"/>
  <c r="Q12" i="36"/>
  <c r="R12" i="36"/>
  <c r="N12" i="25"/>
  <c r="H51" i="50" s="1"/>
  <c r="S12" i="36"/>
  <c r="AC12" i="35"/>
  <c r="BP12" i="9"/>
  <c r="BP13" i="9" s="1"/>
  <c r="H12" i="34" l="1"/>
  <c r="BO15" i="22"/>
  <c r="BO17" i="22" s="1"/>
  <c r="BO21" i="22" s="1"/>
  <c r="BO23" i="31"/>
  <c r="BI38" i="51" s="1"/>
  <c r="H12" i="35"/>
  <c r="H12" i="36"/>
  <c r="H12" i="25"/>
  <c r="BP11" i="31"/>
  <c r="BJ26" i="51" s="1"/>
  <c r="BQ11" i="9"/>
  <c r="BP9" i="8"/>
  <c r="BQ26" i="34"/>
  <c r="BK65" i="51" s="1"/>
  <c r="K15" i="36"/>
  <c r="M15" i="35"/>
  <c r="J15" i="25"/>
  <c r="D54" i="50" s="1"/>
  <c r="J15" i="36"/>
  <c r="H15" i="34"/>
  <c r="L15" i="35"/>
  <c r="L15" i="36"/>
  <c r="K15" i="25"/>
  <c r="E54" i="50" s="1"/>
  <c r="M15" i="36"/>
  <c r="N15" i="36"/>
  <c r="L15" i="25"/>
  <c r="F54" i="50" s="1"/>
  <c r="O15" i="36"/>
  <c r="P15" i="36"/>
  <c r="M15" i="25"/>
  <c r="G54" i="50" s="1"/>
  <c r="Q15" i="36"/>
  <c r="R15" i="36"/>
  <c r="N15" i="25"/>
  <c r="H54" i="50" s="1"/>
  <c r="S15" i="36"/>
  <c r="AC15" i="35"/>
  <c r="BP12" i="31" l="1"/>
  <c r="BJ27" i="51" s="1"/>
  <c r="BQ29" i="34"/>
  <c r="BK68" i="51" s="1"/>
  <c r="K26" i="36"/>
  <c r="M26" i="35"/>
  <c r="J26" i="25"/>
  <c r="D65" i="50" s="1"/>
  <c r="J26" i="36"/>
  <c r="H26" i="34"/>
  <c r="K26" i="25"/>
  <c r="E65" i="50" s="1"/>
  <c r="L26" i="36"/>
  <c r="M26" i="36"/>
  <c r="L26" i="25"/>
  <c r="F65" i="50" s="1"/>
  <c r="N26" i="36"/>
  <c r="O26" i="36"/>
  <c r="M26" i="25"/>
  <c r="G65" i="50" s="1"/>
  <c r="P26" i="36"/>
  <c r="Q26" i="36"/>
  <c r="N26" i="25"/>
  <c r="H65" i="50" s="1"/>
  <c r="R26" i="36"/>
  <c r="S26" i="36"/>
  <c r="AC26" i="35"/>
  <c r="H26" i="35" s="1"/>
  <c r="H15" i="35"/>
  <c r="H15" i="36"/>
  <c r="H15" i="25"/>
  <c r="BP22" i="9" l="1"/>
  <c r="BP24" i="9" s="1"/>
  <c r="H26" i="36"/>
  <c r="H26" i="25"/>
  <c r="BQ12" i="9"/>
  <c r="BQ13" i="9" s="1"/>
  <c r="K29" i="36"/>
  <c r="M29" i="35"/>
  <c r="J29" i="36"/>
  <c r="J29" i="25"/>
  <c r="D68" i="50" s="1"/>
  <c r="H29" i="34"/>
  <c r="H12" i="9" s="1"/>
  <c r="L29" i="35"/>
  <c r="L29" i="36"/>
  <c r="K29" i="25"/>
  <c r="E68" i="50" s="1"/>
  <c r="M29" i="36"/>
  <c r="N29" i="36"/>
  <c r="L29" i="25"/>
  <c r="F68" i="50" s="1"/>
  <c r="O29" i="36"/>
  <c r="P29" i="36"/>
  <c r="M29" i="25"/>
  <c r="G68" i="50" s="1"/>
  <c r="Q29" i="36"/>
  <c r="N29" i="25"/>
  <c r="H68" i="50" s="1"/>
  <c r="R29" i="36"/>
  <c r="S29" i="36"/>
  <c r="AC29" i="35"/>
  <c r="BP23" i="31" l="1"/>
  <c r="BJ38" i="51" s="1"/>
  <c r="BP15" i="22"/>
  <c r="BP17" i="22" s="1"/>
  <c r="BP21" i="22" s="1"/>
  <c r="H29" i="25"/>
  <c r="H29" i="36"/>
  <c r="BQ11" i="31"/>
  <c r="BK26" i="51" s="1"/>
  <c r="BQ9" i="8"/>
  <c r="F10" i="8" s="1"/>
  <c r="AC11" i="32"/>
  <c r="S11" i="33"/>
  <c r="N11" i="24"/>
  <c r="H26" i="50" s="1"/>
  <c r="H29" i="35"/>
  <c r="BQ12" i="31" l="1"/>
  <c r="BK27" i="51" s="1"/>
  <c r="F8" i="40"/>
  <c r="F8" i="42"/>
  <c r="F8" i="41"/>
  <c r="F8" i="27"/>
  <c r="BQ22" i="9"/>
  <c r="BQ24" i="9" s="1"/>
  <c r="N12" i="24"/>
  <c r="H27" i="50" s="1"/>
  <c r="S12" i="33"/>
  <c r="AC12" i="32"/>
  <c r="BQ23" i="31" l="1"/>
  <c r="BK38" i="51" s="1"/>
  <c r="BQ15" i="22"/>
  <c r="BQ17" i="22" s="1"/>
  <c r="BQ21" i="22" s="1"/>
  <c r="F22" i="22" s="1"/>
  <c r="F10" i="22" s="1"/>
  <c r="F11" i="22" s="1"/>
  <c r="J23" i="33"/>
  <c r="S23" i="33"/>
  <c r="N23" i="24"/>
  <c r="H38" i="50" s="1"/>
  <c r="AC23" i="32"/>
  <c r="F2" i="4" l="1"/>
  <c r="F2" i="39"/>
  <c r="F2" i="41"/>
  <c r="F2" i="43"/>
  <c r="F2" i="40"/>
  <c r="F2" i="37"/>
  <c r="F2" i="42"/>
  <c r="F2" i="38"/>
  <c r="F2" i="36"/>
  <c r="F2" i="35"/>
  <c r="F2" i="34"/>
  <c r="F2" i="33"/>
  <c r="F2" i="32"/>
  <c r="F2" i="31"/>
  <c r="F2" i="30"/>
  <c r="F2" i="28"/>
  <c r="F2" i="26"/>
  <c r="F2" i="25"/>
  <c r="F2" i="27"/>
  <c r="F2" i="29"/>
  <c r="F2" i="24"/>
  <c r="F2" i="22"/>
  <c r="F2" i="21"/>
  <c r="F2" i="23"/>
  <c r="F2" i="20"/>
  <c r="F2" i="19"/>
  <c r="F2" i="17"/>
  <c r="F2" i="18"/>
  <c r="F2" i="15"/>
  <c r="F2" i="13"/>
  <c r="F2" i="16"/>
  <c r="F2" i="14"/>
  <c r="F2" i="12"/>
  <c r="F2" i="11"/>
  <c r="F2" i="10"/>
  <c r="F2" i="9"/>
  <c r="F2" i="7"/>
  <c r="F2" i="8"/>
  <c r="F2" i="6"/>
  <c r="F2" i="5"/>
</calcChain>
</file>

<file path=xl/sharedStrings.xml><?xml version="1.0" encoding="utf-8"?>
<sst xmlns="http://schemas.openxmlformats.org/spreadsheetml/2006/main" count="1457" uniqueCount="490">
  <si>
    <t>Percentage Calculation</t>
  </si>
  <si>
    <t>Raised by</t>
  </si>
  <si>
    <t>Report SubTotal</t>
  </si>
  <si>
    <t>Invoice Term</t>
  </si>
  <si>
    <t>Opening Depreciation</t>
  </si>
  <si>
    <t>Opening Inventory</t>
  </si>
  <si>
    <t>INVOICE FINANCE</t>
  </si>
  <si>
    <t>[Contract year]</t>
  </si>
  <si>
    <t>Timeline label: Month to Year : period end flag</t>
  </si>
  <si>
    <t>Supply Chain Finance enabled flag</t>
  </si>
  <si>
    <t>Invoice Finance Enabled flag</t>
  </si>
  <si>
    <t>Month to Year : first timeline date</t>
  </si>
  <si>
    <t>Retained Earnings</t>
  </si>
  <si>
    <t>Invoice finance drawdown</t>
  </si>
  <si>
    <t>Supply Chain Finance drawdown</t>
  </si>
  <si>
    <t>Asset Finance drawdown</t>
  </si>
  <si>
    <t>Taxable income</t>
  </si>
  <si>
    <t>Share Capital</t>
  </si>
  <si>
    <t>Model Checks</t>
  </si>
  <si>
    <t>CF after capex</t>
  </si>
  <si>
    <t>flag</t>
  </si>
  <si>
    <t>Depreciation this period POS</t>
  </si>
  <si>
    <t>Asset Finance interest POS</t>
  </si>
  <si>
    <t>Date Result</t>
  </si>
  <si>
    <t>[Modelling contact email address]</t>
  </si>
  <si>
    <t>Report Total</t>
  </si>
  <si>
    <t>SUPPLIER ORDERS</t>
  </si>
  <si>
    <t>All in Invoice Finance annual interest rate</t>
  </si>
  <si>
    <t>VAT return this period beginning date</t>
  </si>
  <si>
    <t>MODEL CONSTANTS</t>
  </si>
  <si>
    <t>Equity</t>
  </si>
  <si>
    <t>Model period start</t>
  </si>
  <si>
    <t>Model period end: Month to Year : period end flag</t>
  </si>
  <si>
    <t>VAT return this period first period number</t>
  </si>
  <si>
    <t>Month to Quarter : period end flag</t>
  </si>
  <si>
    <t>Shareholder Equity</t>
  </si>
  <si>
    <t>Invoice finance period interest rate</t>
  </si>
  <si>
    <t>Corporation tax paid this period</t>
  </si>
  <si>
    <t>Retained Earnings this period</t>
  </si>
  <si>
    <t>index</t>
  </si>
  <si>
    <t>Retained Earnings BEG</t>
  </si>
  <si>
    <t>Share Capital BEG</t>
  </si>
  <si>
    <t>[PROJECT NAME] FINANCIAL MODEL</t>
  </si>
  <si>
    <t>Scenario 2</t>
  </si>
  <si>
    <t>Case</t>
  </si>
  <si>
    <t>ID</t>
  </si>
  <si>
    <t>Date raised</t>
  </si>
  <si>
    <t>Supplier order deposit</t>
  </si>
  <si>
    <t>Order lead time (months)</t>
  </si>
  <si>
    <t>Invoice Finance Enabled end date</t>
  </si>
  <si>
    <t>ASSET FINANCE</t>
  </si>
  <si>
    <t>All in Trade finance annual interest rate</t>
  </si>
  <si>
    <t>Asset Finance Advance %</t>
  </si>
  <si>
    <t>STF Units ordered</t>
  </si>
  <si>
    <t>Period number: Month to Year (financial year) : period end flag</t>
  </si>
  <si>
    <t>Fixed Operating Cost Growth Rate escalation indexation factor</t>
  </si>
  <si>
    <t>Debts flags</t>
  </si>
  <si>
    <t>Use short term forecast flag</t>
  </si>
  <si>
    <t>Month to Year period number counter</t>
  </si>
  <si>
    <t>Cash Low</t>
  </si>
  <si>
    <t>Depreciation</t>
  </si>
  <si>
    <t>Cash in from Sales</t>
  </si>
  <si>
    <t>VAT due</t>
  </si>
  <si>
    <t>EBIT</t>
  </si>
  <si>
    <t>Debtors BEG</t>
  </si>
  <si>
    <t>Corporation tax POS</t>
  </si>
  <si>
    <t>Check</t>
  </si>
  <si>
    <t>range end</t>
  </si>
  <si>
    <t>Input differences</t>
  </si>
  <si>
    <t>Base case 3</t>
  </si>
  <si>
    <t>Customer Order Growth annual start escalation rate</t>
  </si>
  <si>
    <t>Months</t>
  </si>
  <si>
    <t>Minimum quantity before reorder</t>
  </si>
  <si>
    <t>Opening Retained Earnings</t>
  </si>
  <si>
    <t>Supply Chain Finance enabled end date</t>
  </si>
  <si>
    <t>VAT rate</t>
  </si>
  <si>
    <t>Months in year</t>
  </si>
  <si>
    <t>New share capital issued</t>
  </si>
  <si>
    <t>VAT return this period first period number constant</t>
  </si>
  <si>
    <t>Month to Quarter : first timeline date</t>
  </si>
  <si>
    <t>New customer orders</t>
  </si>
  <si>
    <t>Variable Operating expense</t>
  </si>
  <si>
    <t>Invoice finance principal repayment</t>
  </si>
  <si>
    <t>Asset Finance interest paid</t>
  </si>
  <si>
    <t>Tax losses carried forward balance</t>
  </si>
  <si>
    <t>Balance Sheet Balances overall</t>
  </si>
  <si>
    <t>Assets</t>
  </si>
  <si>
    <t>Deferred Income BEG</t>
  </si>
  <si>
    <t>Fixed operating expense POS</t>
  </si>
  <si>
    <t>Variable Operating expense POS</t>
  </si>
  <si>
    <t>Invoice finance principal repayment POS</t>
  </si>
  <si>
    <t>counter</t>
  </si>
  <si>
    <t>Section</t>
  </si>
  <si>
    <t>Output - Base case 1</t>
  </si>
  <si>
    <t>Source</t>
  </si>
  <si>
    <t>REPORTS</t>
  </si>
  <si>
    <t xml:space="preserve">Resolved by </t>
  </si>
  <si>
    <t>Comments</t>
  </si>
  <si>
    <t>Alerts</t>
  </si>
  <si>
    <t>Fixed operating cost base</t>
  </si>
  <si>
    <t>OPENING BALANCES</t>
  </si>
  <si>
    <t>Asset Finance Period</t>
  </si>
  <si>
    <t>First Customer Order Growth escalation period</t>
  </si>
  <si>
    <t>Period of first Customer Order Growth escalation</t>
  </si>
  <si>
    <t>Day in period Customer Order Growth escalation occurs</t>
  </si>
  <si>
    <t>years since Customer Order Growth base date</t>
  </si>
  <si>
    <t>Fixed Operating Cost Growth Rate escalation duration flag</t>
  </si>
  <si>
    <t>Asset Finance Enabled flag</t>
  </si>
  <si>
    <t>VAT return this period mod of period number</t>
  </si>
  <si>
    <t>Inventory</t>
  </si>
  <si>
    <t>Cash out on Operating Expense</t>
  </si>
  <si>
    <t>Supply Chain Finance principal repayment</t>
  </si>
  <si>
    <t>Supply Chain Finance interest</t>
  </si>
  <si>
    <t>Operating Cashflow</t>
  </si>
  <si>
    <t>Net Cashflow</t>
  </si>
  <si>
    <t>Invoice finance interest paid POS</t>
  </si>
  <si>
    <t>KEY</t>
  </si>
  <si>
    <t>Percentage Input</t>
  </si>
  <si>
    <t>For enquiries please contact:</t>
  </si>
  <si>
    <t>Diff Pct</t>
  </si>
  <si>
    <t>Active scenario</t>
  </si>
  <si>
    <t>Sub-section</t>
  </si>
  <si>
    <t>Units</t>
  </si>
  <si>
    <t>Opening Debtors</t>
  </si>
  <si>
    <t>day</t>
  </si>
  <si>
    <t>Opening Supply Chain Finance balance</t>
  </si>
  <si>
    <t>Percentage of expense subject to VAT</t>
  </si>
  <si>
    <t>Model period end: Month to Year (financial year) : period end flag</t>
  </si>
  <si>
    <t>Fixed Operating Cost Growth Rate escalation step up frequency flag</t>
  </si>
  <si>
    <t>Units ordered</t>
  </si>
  <si>
    <t>Units in stock</t>
  </si>
  <si>
    <t>Invoice finance interest</t>
  </si>
  <si>
    <t>Invoice finance interest paid</t>
  </si>
  <si>
    <t>Supply Chain Finance balance</t>
  </si>
  <si>
    <t>Asset Finance balance</t>
  </si>
  <si>
    <t>Asset Finance interest</t>
  </si>
  <si>
    <t>Taxable income net of tax losses utilised</t>
  </si>
  <si>
    <t>Checks breached any period</t>
  </si>
  <si>
    <t>Units in stock BEG</t>
  </si>
  <si>
    <t>Depreciation POS</t>
  </si>
  <si>
    <t>Percentage Result</t>
  </si>
  <si>
    <t>Comparison scenario</t>
  </si>
  <si>
    <t>Scenario 3</t>
  </si>
  <si>
    <t>Error chks</t>
  </si>
  <si>
    <t>Time</t>
  </si>
  <si>
    <t>Resolved?</t>
  </si>
  <si>
    <t>DEBT</t>
  </si>
  <si>
    <t>Financial year end month</t>
  </si>
  <si>
    <t>Customer Order Growth index</t>
  </si>
  <si>
    <t>Month to Quarter period number counter</t>
  </si>
  <si>
    <t>New Deferred Income from customer orders</t>
  </si>
  <si>
    <t>Supply Chain Finance unpaid interest</t>
  </si>
  <si>
    <t>Total Units retired BEG</t>
  </si>
  <si>
    <t>Cash out on Operating Expense POS</t>
  </si>
  <si>
    <t>Corporation tax creditor BEG</t>
  </si>
  <si>
    <t>Inputs</t>
  </si>
  <si>
    <t>Date Calculation</t>
  </si>
  <si>
    <t>&lt;INSERT LOGO HERE&gt;</t>
  </si>
  <si>
    <t>vw</t>
  </si>
  <si>
    <t>Base case</t>
  </si>
  <si>
    <t>Where</t>
  </si>
  <si>
    <t>Report Indent</t>
  </si>
  <si>
    <t>EXPENSE</t>
  </si>
  <si>
    <t>Depreciation Term</t>
  </si>
  <si>
    <t>Opening Units in use</t>
  </si>
  <si>
    <t>Opening Cash</t>
  </si>
  <si>
    <t>SUPPLY CHAIN FINANCE</t>
  </si>
  <si>
    <t>STF New Customer orders</t>
  </si>
  <si>
    <t>Headers</t>
  </si>
  <si>
    <t>Timeline label: Month to Quarter : period end flag</t>
  </si>
  <si>
    <t>Timeline label: Month to SemiAnnual : period end flag</t>
  </si>
  <si>
    <t>Customer Order Growth escalation indexation factor</t>
  </si>
  <si>
    <t>Month to Year (financial year) : period end flag</t>
  </si>
  <si>
    <t>Sales</t>
  </si>
  <si>
    <t>Income</t>
  </si>
  <si>
    <t>Units on order</t>
  </si>
  <si>
    <t>Depreciation this period</t>
  </si>
  <si>
    <t>VAT balance</t>
  </si>
  <si>
    <t>VAT payment delay</t>
  </si>
  <si>
    <t>Corporation tax paid</t>
  </si>
  <si>
    <t>EBITDA</t>
  </si>
  <si>
    <t>Profit before tax</t>
  </si>
  <si>
    <t>CF after financing</t>
  </si>
  <si>
    <t>Customer Orders Awaiting Fullfilment BEG</t>
  </si>
  <si>
    <t>Supply Chain Finance principal repayment POS</t>
  </si>
  <si>
    <t>[do not delete row]</t>
  </si>
  <si>
    <t>Customer base order number</t>
  </si>
  <si>
    <t>Opening Customer Orders Awaiting Fullfilment</t>
  </si>
  <si>
    <t>Opening Deferred Income</t>
  </si>
  <si>
    <t>All in Supply Chain Finance annual interest rate</t>
  </si>
  <si>
    <t>Opening Asset Finance balance</t>
  </si>
  <si>
    <t>VAT</t>
  </si>
  <si>
    <t>Months per period (Primary)</t>
  </si>
  <si>
    <t>Timeline label: Month to Year (financial year) : period end flag</t>
  </si>
  <si>
    <t>Model period end: Month to Quarter : period end flag</t>
  </si>
  <si>
    <t>Model period end: Month to SemiAnnual : period end flag</t>
  </si>
  <si>
    <t>Customer Order Growth escalation step up frequency flag</t>
  </si>
  <si>
    <t>Period of first Fixed Operating Cost Growth Rate escalation</t>
  </si>
  <si>
    <t>VAT on inventory</t>
  </si>
  <si>
    <t>Units delivered</t>
  </si>
  <si>
    <t>Invoice finance unpaid interest</t>
  </si>
  <si>
    <t>Supply Chain Finance interest paid</t>
  </si>
  <si>
    <t>VAT quarterly return</t>
  </si>
  <si>
    <t>Inventory BEG</t>
  </si>
  <si>
    <t>Creditors BEG</t>
  </si>
  <si>
    <t>Currency Calculation</t>
  </si>
  <si>
    <t>Total</t>
  </si>
  <si>
    <t>Timeline label</t>
  </si>
  <si>
    <t>Difference</t>
  </si>
  <si>
    <t>%</t>
  </si>
  <si>
    <t>Customer Order Growth escalation frequency</t>
  </si>
  <si>
    <t>Supplier price per unit</t>
  </si>
  <si>
    <t>INVENTORY</t>
  </si>
  <si>
    <t>Opening VAT balance</t>
  </si>
  <si>
    <t>date</t>
  </si>
  <si>
    <t>Opening Invoice finance balance</t>
  </si>
  <si>
    <t>VAT payment delay in months</t>
  </si>
  <si>
    <t>Day in period Fixed Operating Cost Growth Rate escalation occurs</t>
  </si>
  <si>
    <t>Model timelines</t>
  </si>
  <si>
    <t>Month to Year (financial year) : first timeline date</t>
  </si>
  <si>
    <t>plus</t>
  </si>
  <si>
    <t>Customer orders fullfilled</t>
  </si>
  <si>
    <t>Units in use</t>
  </si>
  <si>
    <t>Total Units retired</t>
  </si>
  <si>
    <t>Supply Chain Finance period interest rate</t>
  </si>
  <si>
    <t>Date corporation tax paid this year</t>
  </si>
  <si>
    <t>Corporation tax creditor</t>
  </si>
  <si>
    <t>Liabilities</t>
  </si>
  <si>
    <t>Units on order BEG</t>
  </si>
  <si>
    <t>Unit</t>
  </si>
  <si>
    <t>Comparison column label</t>
  </si>
  <si>
    <t>Base case 1</t>
  </si>
  <si>
    <t>Scenario 4</t>
  </si>
  <si>
    <t>Description</t>
  </si>
  <si>
    <t>Opening Total Units retired</t>
  </si>
  <si>
    <t>Opening Creditors</t>
  </si>
  <si>
    <t>VAT return this period every x periods</t>
  </si>
  <si>
    <t>Tax losses carried forward - initial balance</t>
  </si>
  <si>
    <t>Period number: Month to Year : period end flag</t>
  </si>
  <si>
    <t>Period number: Month to SemiAnnual : period end flag</t>
  </si>
  <si>
    <t>Customer Order Growth escalation duration flag</t>
  </si>
  <si>
    <t>Fixed Operating Cost Growth Rate index</t>
  </si>
  <si>
    <t>years since Fixed Operating Cost Growth Rate base date</t>
  </si>
  <si>
    <t>VAT return this period first period flag</t>
  </si>
  <si>
    <t>Deployed units returned</t>
  </si>
  <si>
    <t>Order Quantity</t>
  </si>
  <si>
    <t>Units deployed</t>
  </si>
  <si>
    <t>Asset Finance period interest rate</t>
  </si>
  <si>
    <t>Tax losses arising</t>
  </si>
  <si>
    <t>Depreciation BEG</t>
  </si>
  <si>
    <t>Invoice finance interest POS</t>
  </si>
  <si>
    <t>Asset Finance principal repayment POS</t>
  </si>
  <si>
    <t>Asset Finance interest paid POS</t>
  </si>
  <si>
    <t>period</t>
  </si>
  <si>
    <t>Constant</t>
  </si>
  <si>
    <t>KEY OUTPUTS</t>
  </si>
  <si>
    <t>Sheet</t>
  </si>
  <si>
    <t>GBP</t>
  </si>
  <si>
    <t>Customer Retention</t>
  </si>
  <si>
    <t>Invoice Finance Enabled beginning date</t>
  </si>
  <si>
    <t>CORPORATION TAX</t>
  </si>
  <si>
    <t>Month to SemiAnnual : period end flag</t>
  </si>
  <si>
    <t>Month to SemiAnnual : first timeline date</t>
  </si>
  <si>
    <t>Fixed operating expense</t>
  </si>
  <si>
    <t>Cash out on Inventory</t>
  </si>
  <si>
    <t>Asset Finance principal repayment</t>
  </si>
  <si>
    <t>Output VAT</t>
  </si>
  <si>
    <t>VAT paid</t>
  </si>
  <si>
    <t>Taxable income / (Tax losses arising)</t>
  </si>
  <si>
    <t>Corporation tax</t>
  </si>
  <si>
    <t>VAT paid POS</t>
  </si>
  <si>
    <t>END</t>
  </si>
  <si>
    <t>Standard Input</t>
  </si>
  <si>
    <t>Currency Input</t>
  </si>
  <si>
    <t>Filename</t>
  </si>
  <si>
    <t>Sales Price Unit</t>
  </si>
  <si>
    <t>Contract Length</t>
  </si>
  <si>
    <t>Days in period</t>
  </si>
  <si>
    <t>Supply Chain Finance enabled beginning date</t>
  </si>
  <si>
    <t>Asset Finance Enabled beginning date</t>
  </si>
  <si>
    <t>Opening Corporation tax creditor</t>
  </si>
  <si>
    <t>Monthly Growth Rate</t>
  </si>
  <si>
    <t>First Fixed Operating Cost Growth Rate escalation period</t>
  </si>
  <si>
    <t>Month to Year (financial year) period number counter</t>
  </si>
  <si>
    <t>Net Assets</t>
  </si>
  <si>
    <t>Counter</t>
  </si>
  <si>
    <t>Supply Chain Finance interest POS</t>
  </si>
  <si>
    <t>Supply Chain Finance interest paid POS</t>
  </si>
  <si>
    <t>VAT balance BEG</t>
  </si>
  <si>
    <t>Currency Result</t>
  </si>
  <si>
    <t>[Modelling contact]</t>
  </si>
  <si>
    <t>Date</t>
  </si>
  <si>
    <t>Minimum supplier order quantity</t>
  </si>
  <si>
    <t>Opening Units in stock</t>
  </si>
  <si>
    <t>debt day count convention</t>
  </si>
  <si>
    <t>Supply Chain Finance Advance %</t>
  </si>
  <si>
    <t>Asset Finance Enabled end date</t>
  </si>
  <si>
    <t>First Customer Order Growth escalation flag</t>
  </si>
  <si>
    <t>First Fixed Operating Cost Growth Rate escalation flag</t>
  </si>
  <si>
    <t>less</t>
  </si>
  <si>
    <t>Units retired</t>
  </si>
  <si>
    <t>Creditors</t>
  </si>
  <si>
    <t>Debtors</t>
  </si>
  <si>
    <t>Invoice finance balance</t>
  </si>
  <si>
    <t>Effective tax rate</t>
  </si>
  <si>
    <t>Balance Sheet Balances</t>
  </si>
  <si>
    <t>Cash BEG</t>
  </si>
  <si>
    <t>Cash out on Inventory POS</t>
  </si>
  <si>
    <t>Standard Result</t>
  </si>
  <si>
    <t>Scenario 1</t>
  </si>
  <si>
    <t>Base case 2</t>
  </si>
  <si>
    <t>Period number</t>
  </si>
  <si>
    <t>this is the new format</t>
  </si>
  <si>
    <t>Customer payment terms (months)</t>
  </si>
  <si>
    <t>Fixed Operating Cost Growth Rate escalation frequency</t>
  </si>
  <si>
    <t>Variable Operating Costs as a % of sales</t>
  </si>
  <si>
    <t>Invoice Finance Advance %</t>
  </si>
  <si>
    <t>Start date</t>
  </si>
  <si>
    <t>Short term forecast</t>
  </si>
  <si>
    <t>VAT return this period flag</t>
  </si>
  <si>
    <t>Month to SemiAnnual period number counter</t>
  </si>
  <si>
    <t>Cash</t>
  </si>
  <si>
    <t>Supplier Invoices</t>
  </si>
  <si>
    <t>Customer Orders Awaiting Fullfilment</t>
  </si>
  <si>
    <t>VAT on operating expense</t>
  </si>
  <si>
    <t>Asset Finance unpaid interest</t>
  </si>
  <si>
    <t>Tax losses</t>
  </si>
  <si>
    <t>Tax losses utilised</t>
  </si>
  <si>
    <t>Corporation tax paid POS</t>
  </si>
  <si>
    <t>Standard Calculation</t>
  </si>
  <si>
    <t>Date Input</t>
  </si>
  <si>
    <t>MODEL RUN INFO</t>
  </si>
  <si>
    <t>Model period end</t>
  </si>
  <si>
    <t>Financial year ending</t>
  </si>
  <si>
    <t>CUSTOMER ORDERS</t>
  </si>
  <si>
    <t>Fixed Operating Cost Growth Rate annual start escalation rate</t>
  </si>
  <si>
    <t>Opening Units on order</t>
  </si>
  <si>
    <t>Opening Share Capital</t>
  </si>
  <si>
    <t>Corporation tax rate</t>
  </si>
  <si>
    <t>Month corporation tax paid</t>
  </si>
  <si>
    <t>SHORT TERM FORECAST</t>
  </si>
  <si>
    <t>Use short term forecast flag end date</t>
  </si>
  <si>
    <t>STF Units delivered</t>
  </si>
  <si>
    <t>Period number: Month to Quarter : period end flag</t>
  </si>
  <si>
    <t>Month to Year : period end flag</t>
  </si>
  <si>
    <t>Renewing Customer Orders</t>
  </si>
  <si>
    <t>Deferred Income</t>
  </si>
  <si>
    <t>Input VAT</t>
  </si>
  <si>
    <t>Units in use BEG</t>
  </si>
  <si>
    <t>Invoice finance balance BEG</t>
  </si>
  <si>
    <t>Supply Chain Finance balance BEG</t>
  </si>
  <si>
    <t>Asset Finance balance BEG</t>
  </si>
  <si>
    <t>Tax losses carried forward balance BEG</t>
  </si>
  <si>
    <t>This sheet enables navigation</t>
  </si>
  <si>
    <t>Panel 1 Name</t>
  </si>
  <si>
    <t>Panel 2 Name</t>
  </si>
  <si>
    <t>Panel 3 Name</t>
  </si>
  <si>
    <t>Panel 4 Name</t>
  </si>
  <si>
    <t>Hide height</t>
  </si>
  <si>
    <t>Supplier</t>
  </si>
  <si>
    <t>Customers</t>
  </si>
  <si>
    <t>Expense</t>
  </si>
  <si>
    <t>Financing</t>
  </si>
  <si>
    <t>Drivers</t>
  </si>
  <si>
    <t>Show Drivers Button</t>
  </si>
  <si>
    <t>Show Panel 1</t>
  </si>
  <si>
    <t>Show Panel 2</t>
  </si>
  <si>
    <t>Show Panel 3</t>
  </si>
  <si>
    <t>Show Panel 4</t>
  </si>
  <si>
    <t>X</t>
  </si>
  <si>
    <t>y</t>
  </si>
  <si>
    <t>width</t>
  </si>
  <si>
    <t>Open height</t>
  </si>
  <si>
    <t>visible</t>
  </si>
  <si>
    <t>Show</t>
  </si>
  <si>
    <t>Hide</t>
  </si>
  <si>
    <t>Base</t>
  </si>
  <si>
    <t>show</t>
  </si>
  <si>
    <t>Panel Colour</t>
  </si>
  <si>
    <t>Actual</t>
  </si>
  <si>
    <t>Panel to Show</t>
  </si>
  <si>
    <t>Charts</t>
  </si>
  <si>
    <t>Show Charts Button</t>
  </si>
  <si>
    <t>height</t>
  </si>
  <si>
    <t>Buffer</t>
  </si>
  <si>
    <t>Show Charts</t>
  </si>
  <si>
    <t>Reports</t>
  </si>
  <si>
    <t>Show Reports Button</t>
  </si>
  <si>
    <t>Show Annual/Monthly</t>
  </si>
  <si>
    <t>Annual</t>
  </si>
  <si>
    <t>Monthly</t>
  </si>
  <si>
    <t>Canvas</t>
  </si>
  <si>
    <t>Export to excel functionalisty</t>
  </si>
  <si>
    <t>Export to excel</t>
  </si>
  <si>
    <t>Export</t>
  </si>
  <si>
    <t>Dashboard Labels</t>
  </si>
  <si>
    <t>Dashbboard Inputs</t>
  </si>
  <si>
    <t>Calculations from Inputs</t>
  </si>
  <si>
    <t>Model Drivers</t>
  </si>
  <si>
    <t>Dropdown lists and labels</t>
  </si>
  <si>
    <t>Supplier Orders:</t>
  </si>
  <si>
    <t>(saved in scenarios</t>
  </si>
  <si>
    <t>(for model drivers</t>
  </si>
  <si>
    <t>(link INC directly to each of these</t>
  </si>
  <si>
    <t>Supplier Deposit:</t>
  </si>
  <si>
    <t>Lead time (months):</t>
  </si>
  <si>
    <t>cost per unit:</t>
  </si>
  <si>
    <t>minimum order:</t>
  </si>
  <si>
    <t>Finance</t>
  </si>
  <si>
    <t>minimum stock:</t>
  </si>
  <si>
    <t>Years</t>
  </si>
  <si>
    <t>Customer Orders:</t>
  </si>
  <si>
    <t>Jan</t>
  </si>
  <si>
    <t>Customer base monthly order:</t>
  </si>
  <si>
    <t>Feb</t>
  </si>
  <si>
    <t>Customer payment terms (months):</t>
  </si>
  <si>
    <t>Mar</t>
  </si>
  <si>
    <t>sales price (per unit):</t>
  </si>
  <si>
    <t>Apr</t>
  </si>
  <si>
    <t>customer contract length (months):</t>
  </si>
  <si>
    <t>May</t>
  </si>
  <si>
    <t>Annual Growth Rate:</t>
  </si>
  <si>
    <t>Jun</t>
  </si>
  <si>
    <t>Customer Retention:</t>
  </si>
  <si>
    <t>Jul</t>
  </si>
  <si>
    <t>Aug</t>
  </si>
  <si>
    <t>Expense:</t>
  </si>
  <si>
    <t>Sep</t>
  </si>
  <si>
    <t>fixed operating cost (FOC)</t>
  </si>
  <si>
    <t>Oct</t>
  </si>
  <si>
    <t>FOC annual growth rate</t>
  </si>
  <si>
    <t>Nov</t>
  </si>
  <si>
    <t>Variable operating costs as a % of sales</t>
  </si>
  <si>
    <t>Dec</t>
  </si>
  <si>
    <t>Start Date</t>
  </si>
  <si>
    <t>IF Enabled</t>
  </si>
  <si>
    <t>unchecked</t>
  </si>
  <si>
    <t>IF Start Month</t>
  </si>
  <si>
    <t>IF Start Year</t>
  </si>
  <si>
    <t>End Date</t>
  </si>
  <si>
    <t>IF End Month</t>
  </si>
  <si>
    <t>IF End Year</t>
  </si>
  <si>
    <t>TF Enabled</t>
  </si>
  <si>
    <t>TF Start Month</t>
  </si>
  <si>
    <t>TF Start Year</t>
  </si>
  <si>
    <t>TF End Month</t>
  </si>
  <si>
    <t>Charts Drop Down</t>
  </si>
  <si>
    <t>TF End Year</t>
  </si>
  <si>
    <t>Year 1 / 2</t>
  </si>
  <si>
    <t>AF Enabled</t>
  </si>
  <si>
    <t>Year 2 / 3</t>
  </si>
  <si>
    <t>AF Start Month</t>
  </si>
  <si>
    <t>Year 3 / 4</t>
  </si>
  <si>
    <t>AF Start Year</t>
  </si>
  <si>
    <t>Year 4 / 5</t>
  </si>
  <si>
    <t>AF End Month</t>
  </si>
  <si>
    <t>AF End Year</t>
  </si>
  <si>
    <t>IF Interest Rate</t>
  </si>
  <si>
    <t>IF Drawdown</t>
  </si>
  <si>
    <t>TF Interest Rate</t>
  </si>
  <si>
    <t>TF Drawdown</t>
  </si>
  <si>
    <t>AF Interest Rate</t>
  </si>
  <si>
    <t>Trade finance enabled end date</t>
  </si>
  <si>
    <t>AF Drawdown</t>
  </si>
  <si>
    <t>Trade finance enabled beginning date</t>
  </si>
  <si>
    <t>Opening Trade finance balance</t>
  </si>
  <si>
    <t>Trade finance Advance %</t>
  </si>
  <si>
    <t>offset</t>
  </si>
  <si>
    <t>Chart offsets</t>
  </si>
  <si>
    <t>SQRMonthly</t>
  </si>
  <si>
    <t>SQRMonthly!D2</t>
  </si>
  <si>
    <t>Dates</t>
  </si>
  <si>
    <t>Balance Sheet</t>
  </si>
  <si>
    <t>Cash Balance</t>
  </si>
  <si>
    <t>Invoice Finance Balance</t>
  </si>
  <si>
    <t>Trade Finance Balance</t>
  </si>
  <si>
    <t>Asset Finance Balance</t>
  </si>
  <si>
    <t>Income Statement</t>
  </si>
  <si>
    <t>Profit before Tax</t>
  </si>
  <si>
    <t>Retained Earning this period</t>
  </si>
  <si>
    <t>Variable Expense</t>
  </si>
  <si>
    <t>Fixed Expense</t>
  </si>
  <si>
    <t>Invoice Finance</t>
  </si>
  <si>
    <t>Trade Finance</t>
  </si>
  <si>
    <t>Asset Finance</t>
  </si>
  <si>
    <t>Corporation Tax</t>
  </si>
  <si>
    <t>Inventory Report</t>
  </si>
  <si>
    <t>Customer orders waiting</t>
  </si>
  <si>
    <t>Units in Use</t>
  </si>
  <si>
    <t>Cashflow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</si>
</sst>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dd/mm/yyyy;@"/>
    <numFmt numFmtId="165" formatCode="#,##0_);\(#,##0\);&quot;-  &quot;;&quot; &quot;@&quot; &quot;"/>
    <numFmt numFmtId="166" formatCode="#,##0_);\(#,##0\);&quot;-  &quot;;&quot; &quot;@"/>
    <numFmt numFmtId="167" formatCode="dd\ mmm\ yy_);\(###0\);&quot;-  &quot;;&quot; &quot;@&quot; &quot;"/>
    <numFmt numFmtId="168" formatCode="#,##0.0000_);\(#,##0.0000\);&quot;-  &quot;;&quot; &quot;@&quot; &quot;"/>
    <numFmt numFmtId="169" formatCode="0.00%_);\-0.00%_);&quot;-  &quot;;&quot; &quot;@&quot; &quot;"/>
    <numFmt numFmtId="170" formatCode="dd\ mmm\ yyyy_);\(###0\);&quot;-  &quot;;&quot; &quot;@&quot; &quot;"/>
    <numFmt numFmtId="171" formatCode="###0_);\(###0\);&quot;-  &quot;;&quot; &quot;@&quot; &quot;"/>
    <numFmt numFmtId="172" formatCode="[$-F400]h:mm:ss\ AM/PM"/>
    <numFmt numFmtId="173" formatCode="dd/mmm/yy_);;&quot;-  &quot;;&quot; &quot;@"/>
    <numFmt numFmtId="174" formatCode="&quot;tu&quot;;;&quot;vw&quot;"/>
    <numFmt numFmtId="175" formatCode="#,##0.000_);\(#,##0.000\);&quot;-  &quot;;&quot; &quot;@"/>
    <numFmt numFmtId="176" formatCode="0%_);\-0%_);&quot;-  &quot;;&quot; &quot;@&quot; &quot;"/>
    <numFmt numFmtId="177" formatCode="0;0;&quot;-&quot;"/>
    <numFmt numFmtId="178" formatCode="0.00%;\-0.00%_);&quot;-  &quot;;&quot; &quot;@&quot; &quot;"/>
    <numFmt numFmtId="179" formatCode="#,##0.0000;\(#,##0.0000\);&quot;-  &quot;;&quot; &quot;@&quot; &quot;"/>
    <numFmt numFmtId="180" formatCode="mmm\-yyyy"/>
  </numFmts>
  <fonts count="63">
    <font>
      <sz val="8"/>
      <color theme="1"/>
      <name val="Tahoma"/>
      <family val="2"/>
    </font>
    <font>
      <sz val="10"/>
      <name val="Arial"/>
      <family val="2"/>
    </font>
    <font>
      <sz val="11"/>
      <color theme="1"/>
      <name val="Calibri"/>
      <family val="2"/>
      <scheme val="minor"/>
    </font>
    <font>
      <u/>
      <sz val="8"/>
      <color theme="10"/>
      <name val="Tahoma"/>
      <family val="2"/>
    </font>
    <font>
      <sz val="10"/>
      <color rgb="FF000000"/>
      <name val="Arial"/>
      <family val="2"/>
    </font>
    <font>
      <i/>
      <sz val="8"/>
      <color theme="1"/>
      <name val="Tahoma"/>
      <family val="2"/>
    </font>
    <font>
      <sz val="10"/>
      <color rgb="FFFF0000"/>
      <name val="Arial"/>
      <family val="2"/>
    </font>
    <font>
      <sz val="10"/>
      <color rgb="FF0000FF"/>
      <name val="Arial"/>
      <family val="2"/>
    </font>
    <font>
      <b/>
      <sz val="10"/>
      <name val="Arial"/>
      <family val="2"/>
    </font>
    <font>
      <sz val="10"/>
      <color theme="1"/>
      <name val="Arial"/>
      <family val="2"/>
    </font>
    <font>
      <b/>
      <sz val="10"/>
      <color rgb="FF0000FF"/>
      <name val="Arial"/>
      <family val="2"/>
    </font>
    <font>
      <b/>
      <sz val="14"/>
      <name val="Arial"/>
      <family val="2"/>
    </font>
    <font>
      <u/>
      <sz val="10"/>
      <color rgb="FF0000FF"/>
      <name val="Arial"/>
      <family val="2"/>
    </font>
    <font>
      <b/>
      <sz val="10"/>
      <color rgb="FFFF0000"/>
      <name val="Arial"/>
      <family val="2"/>
    </font>
    <font>
      <b/>
      <sz val="20"/>
      <name val="Arial"/>
      <family val="2"/>
    </font>
    <font>
      <sz val="16"/>
      <color indexed="12"/>
      <name val="Arial"/>
      <family val="2"/>
    </font>
    <font>
      <u/>
      <sz val="10"/>
      <name val="Arial"/>
      <family val="2"/>
    </font>
    <font>
      <b/>
      <sz val="10"/>
      <color rgb="FF000000"/>
      <name val="Arial"/>
      <family val="2"/>
    </font>
    <font>
      <u/>
      <sz val="12"/>
      <color theme="10"/>
      <name val="Tahoma"/>
      <family val="2"/>
    </font>
    <font>
      <i/>
      <sz val="10"/>
      <name val="Arial"/>
      <family val="2"/>
    </font>
    <font>
      <u/>
      <sz val="10"/>
      <color rgb="FFFF0000"/>
      <name val="Arial"/>
      <family val="2"/>
    </font>
    <font>
      <sz val="20"/>
      <name val="Arial"/>
      <family val="2"/>
    </font>
    <font>
      <u/>
      <sz val="10"/>
      <color rgb="FF000000"/>
      <name val="Arial"/>
      <family val="2"/>
    </font>
    <font>
      <u/>
      <sz val="20"/>
      <name val="Arial"/>
      <family val="2"/>
    </font>
    <font>
      <sz val="10"/>
      <color theme="0" tint="-0.24991607409894101"/>
      <name val="Wingdings 3"/>
      <family val="1"/>
      <charset val="2"/>
    </font>
    <font>
      <sz val="8"/>
      <color theme="1"/>
      <name val="Times New Roman"/>
      <family val="1"/>
    </font>
    <font>
      <u/>
      <sz val="10"/>
      <color rgb="FF00B050"/>
      <name val="Arial"/>
      <family val="2"/>
    </font>
    <font>
      <sz val="8"/>
      <color theme="1"/>
      <name val="Arial"/>
      <family val="2"/>
    </font>
    <font>
      <sz val="10"/>
      <color theme="0" tint="-0.24994659260841701"/>
      <name val="Arial"/>
      <family val="2"/>
    </font>
    <font>
      <sz val="36"/>
      <color theme="0" tint="-0.24994659260841701"/>
      <name val="Wingdings 3"/>
      <family val="1"/>
      <charset val="2"/>
    </font>
    <font>
      <b/>
      <sz val="11"/>
      <color theme="1"/>
      <name val="Arial"/>
      <family val="2"/>
    </font>
    <font>
      <sz val="10"/>
      <color theme="0" tint="-0.24994659260841701"/>
      <name val="Wingdings 3"/>
      <family val="1"/>
      <charset val="2"/>
    </font>
    <font>
      <b/>
      <sz val="12"/>
      <name val="Arial"/>
      <family val="2"/>
    </font>
    <font>
      <sz val="12"/>
      <color theme="1"/>
      <name val="Times New Roman"/>
      <family val="1"/>
    </font>
    <font>
      <b/>
      <u/>
      <sz val="12"/>
      <color rgb="FF00B050"/>
      <name val="Arial"/>
      <family val="2"/>
    </font>
    <font>
      <sz val="10"/>
      <color rgb="FF00B050"/>
      <name val="Arial"/>
      <family val="2"/>
    </font>
    <font>
      <sz val="10"/>
      <color indexed="12"/>
      <name val="Arial"/>
      <family val="2"/>
    </font>
    <font>
      <sz val="8"/>
      <name val="Arial"/>
      <family val="2"/>
    </font>
    <font>
      <sz val="11"/>
      <color theme="1"/>
      <name val="Arial"/>
      <family val="2"/>
    </font>
    <font>
      <b/>
      <sz val="18"/>
      <name val="Circular Pro Black"/>
      <family val="2"/>
    </font>
    <font>
      <u/>
      <sz val="12"/>
      <color rgb="FF00B050"/>
      <name val="Arial"/>
      <family val="2"/>
    </font>
    <font>
      <sz val="10"/>
      <color indexed="10"/>
      <name val="Arial"/>
      <family val="2"/>
    </font>
    <font>
      <u/>
      <sz val="12"/>
      <color rgb="FF0000FF"/>
      <name val="Arial"/>
      <family val="2"/>
    </font>
    <font>
      <sz val="10"/>
      <color theme="1"/>
      <name val="Times New Roman"/>
      <family val="1"/>
    </font>
    <font>
      <sz val="16"/>
      <color theme="0" tint="-0.24994659260841701"/>
      <name val="Arial"/>
      <family val="2"/>
    </font>
    <font>
      <sz val="10"/>
      <color theme="0" tint="-0.24991607409894101"/>
      <name val="Arial"/>
      <family val="2"/>
    </font>
    <font>
      <sz val="18"/>
      <name val="Arial"/>
      <family val="2"/>
    </font>
    <font>
      <sz val="11"/>
      <name val="Calibri"/>
      <family val="2"/>
      <scheme val="minor"/>
    </font>
    <font>
      <b/>
      <u/>
      <sz val="14"/>
      <color theme="1"/>
      <name val="Times New Roman"/>
      <family val="1"/>
    </font>
    <font>
      <b/>
      <sz val="10"/>
      <color theme="1"/>
      <name val="Arial"/>
      <family val="2"/>
    </font>
    <font>
      <sz val="10"/>
      <name val="Circular Pro Bold"/>
      <family val="2"/>
    </font>
    <font>
      <u/>
      <sz val="10"/>
      <color theme="0" tint="-0.24994659260841701"/>
      <name val="Arial"/>
      <family val="2"/>
    </font>
    <font>
      <sz val="8"/>
      <color theme="1"/>
      <name val="Tahoma"/>
      <family val="2"/>
    </font>
    <font>
      <sz val="11"/>
      <color theme="1"/>
      <name val="Calibri"/>
    </font>
    <font>
      <b/>
      <sz val="12"/>
      <color rgb="FF000000"/>
      <name val="Open Sans"/>
    </font>
    <font>
      <sz val="10"/>
      <name val="Arial"/>
    </font>
    <font>
      <sz val="10"/>
      <color theme="1"/>
      <name val="Arial"/>
    </font>
    <font>
      <sz val="11"/>
      <color theme="1"/>
      <name val="Arial"/>
    </font>
    <font>
      <sz val="10"/>
      <color rgb="FF000000"/>
      <name val="Open Sans"/>
    </font>
    <font>
      <sz val="10"/>
      <color theme="1"/>
      <name val="Calibri"/>
    </font>
    <font>
      <b/>
      <sz val="11"/>
      <color theme="1"/>
      <name val="Calibri"/>
    </font>
    <font>
      <b/>
      <sz val="10"/>
      <color theme="1"/>
      <name val="Tahoma"/>
    </font>
    <font>
      <sz val="10"/>
      <color rgb="FF000000"/>
      <name val="Calibri"/>
    </font>
  </fonts>
  <fills count="19">
    <fill>
      <patternFill patternType="none"/>
    </fill>
    <fill>
      <patternFill patternType="gray125"/>
    </fill>
    <fill>
      <patternFill patternType="solid">
        <fgColor rgb="FFFFFFE5"/>
        <bgColor indexed="64"/>
      </patternFill>
    </fill>
    <fill>
      <patternFill patternType="solid">
        <fgColor rgb="FFC0C0C0"/>
        <bgColor indexed="64"/>
      </patternFill>
    </fill>
    <fill>
      <patternFill patternType="solid">
        <fgColor rgb="FFFFFF99"/>
        <bgColor indexed="64"/>
      </patternFill>
    </fill>
    <fill>
      <patternFill patternType="solid">
        <fgColor theme="8" tint="0.59996337778862885"/>
        <bgColor indexed="64"/>
      </patternFill>
    </fill>
    <fill>
      <patternFill patternType="solid">
        <fgColor rgb="FFFFFF00"/>
        <bgColor indexed="64"/>
      </patternFill>
    </fill>
    <fill>
      <patternFill patternType="solid">
        <fgColor rgb="FFFFFFAF"/>
        <bgColor indexed="64"/>
      </patternFill>
    </fill>
    <fill>
      <patternFill patternType="solid">
        <fgColor rgb="FF92D050"/>
        <bgColor indexed="64"/>
      </patternFill>
    </fill>
    <fill>
      <patternFill patternType="solid">
        <fgColor rgb="FFD9D9D9"/>
        <bgColor indexed="64"/>
      </patternFill>
    </fill>
    <fill>
      <patternFill patternType="solid">
        <fgColor indexed="41"/>
        <bgColor indexed="64"/>
      </patternFill>
    </fill>
    <fill>
      <patternFill patternType="solid">
        <fgColor rgb="FFCCFFFF"/>
        <bgColor indexed="64"/>
      </patternFill>
    </fill>
    <fill>
      <patternFill patternType="solid">
        <fgColor rgb="FFE9F5DB"/>
        <bgColor indexed="64"/>
      </patternFill>
    </fill>
    <fill>
      <patternFill patternType="solid">
        <bgColor rgb="FF999999"/>
      </patternFill>
    </fill>
    <fill>
      <patternFill patternType="solid">
        <fgColor rgb="FFFFFF00"/>
        <bgColor rgb="FFFEFF03"/>
      </patternFill>
    </fill>
    <fill>
      <patternFill patternType="solid">
        <fgColor rgb="FF92D050"/>
        <bgColor rgb="FF00FF00"/>
      </patternFill>
    </fill>
    <fill>
      <patternFill patternType="solid">
        <fgColor rgb="FF92D050"/>
        <bgColor rgb="FFFFFFFF"/>
      </patternFill>
    </fill>
    <fill>
      <patternFill patternType="solid">
        <fgColor rgb="FF008000"/>
        <bgColor indexed="64"/>
      </patternFill>
    </fill>
    <fill>
      <patternFill patternType="solid">
        <fgColor theme="7"/>
        <bgColor indexed="64"/>
      </patternFill>
    </fill>
  </fills>
  <borders count="14">
    <border>
      <left/>
      <right/>
      <top/>
      <bottom/>
      <diagonal/>
    </border>
    <border>
      <left style="thin">
        <color theme="0" tint="-0.24991607409894101"/>
      </left>
      <right/>
      <top style="thin">
        <color theme="0" tint="-0.24991607409894101"/>
      </top>
      <bottom style="thin">
        <color theme="0" tint="-0.24991607409894101"/>
      </bottom>
      <diagonal/>
    </border>
    <border>
      <left/>
      <right/>
      <top style="medium">
        <color auto="1"/>
      </top>
      <bottom style="medium">
        <color auto="1"/>
      </bottom>
      <diagonal/>
    </border>
    <border>
      <left/>
      <right/>
      <top style="medium">
        <color auto="1"/>
      </top>
      <bottom style="double">
        <color auto="1"/>
      </bottom>
      <diagonal/>
    </border>
    <border>
      <left/>
      <right/>
      <top/>
      <bottom style="thin">
        <color rgb="FF808080"/>
      </bottom>
      <diagonal/>
    </border>
    <border>
      <left/>
      <right/>
      <top style="thin">
        <color rgb="FF808080"/>
      </top>
      <bottom style="thin">
        <color rgb="FF808080"/>
      </bottom>
      <diagonal/>
    </border>
    <border>
      <left/>
      <right/>
      <top style="thin">
        <color rgb="FF808080"/>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hair">
        <color theme="0" tint="-0.24991607409894101"/>
      </left>
      <right style="hair">
        <color indexed="64"/>
      </right>
      <top style="hair">
        <color theme="0" tint="-0.24991607409894101"/>
      </top>
      <bottom style="hair">
        <color theme="0" tint="-0.24991607409894101"/>
      </bottom>
      <diagonal/>
    </border>
    <border>
      <left style="thin">
        <color theme="0" tint="-0.24991607409894101"/>
      </left>
      <right style="thin">
        <color theme="0" tint="-0.24991607409894101"/>
      </right>
      <top/>
      <bottom style="thin">
        <color theme="0" tint="-0.24991607409894101"/>
      </bottom>
      <diagonal/>
    </border>
    <border>
      <left/>
      <right/>
      <top/>
      <bottom style="thin">
        <color indexed="64"/>
      </bottom>
      <diagonal/>
    </border>
    <border>
      <left style="thin">
        <color theme="0" tint="-0.24991607409894101"/>
      </left>
      <right style="thin">
        <color theme="0" tint="-0.24991607409894101"/>
      </right>
      <top style="thin">
        <color theme="0" tint="-0.24991607409894101"/>
      </top>
      <bottom/>
      <diagonal/>
    </border>
    <border>
      <left style="hair">
        <color theme="0"/>
      </left>
      <right style="hair">
        <color indexed="64"/>
      </right>
      <top style="hair">
        <color theme="0"/>
      </top>
      <bottom style="hair">
        <color theme="0"/>
      </bottom>
      <diagonal/>
    </border>
    <border>
      <left/>
      <right/>
      <top style="thin">
        <color indexed="64"/>
      </top>
      <bottom style="thin">
        <color indexed="64"/>
      </bottom>
      <diagonal/>
    </border>
  </borders>
  <cellStyleXfs count="36">
    <xf numFmtId="165" fontId="0" fillId="0" borderId="0" applyFont="0" applyFill="0" applyBorder="0" applyProtection="0">
      <alignment vertical="top"/>
    </xf>
    <xf numFmtId="165" fontId="1" fillId="0" borderId="0" applyBorder="0">
      <alignment vertical="top"/>
    </xf>
    <xf numFmtId="169" fontId="1" fillId="0" borderId="0" applyBorder="0">
      <alignment vertical="top"/>
    </xf>
    <xf numFmtId="165" fontId="1" fillId="0" borderId="0" applyBorder="0">
      <alignment vertical="top"/>
    </xf>
    <xf numFmtId="167" fontId="1" fillId="0" borderId="0" applyBorder="0">
      <alignment vertical="top"/>
    </xf>
    <xf numFmtId="166" fontId="1" fillId="0" borderId="0" applyFont="0" applyFill="0" applyBorder="0" applyProtection="0">
      <alignment vertical="top"/>
    </xf>
    <xf numFmtId="170" fontId="1" fillId="0" borderId="0" applyFont="0" applyFill="0" applyBorder="0" applyProtection="0">
      <alignment vertical="top"/>
    </xf>
    <xf numFmtId="170" fontId="1" fillId="0" borderId="0" applyFont="0" applyFill="0" applyBorder="0" applyProtection="0">
      <alignment vertical="top"/>
    </xf>
    <xf numFmtId="167" fontId="1" fillId="0" borderId="0" applyFont="0" applyFill="0" applyBorder="0" applyProtection="0">
      <alignment vertical="top"/>
    </xf>
    <xf numFmtId="167" fontId="1" fillId="0" borderId="0" applyFont="0" applyFill="0" applyBorder="0" applyProtection="0">
      <alignment vertical="top"/>
    </xf>
    <xf numFmtId="179" fontId="1" fillId="0" borderId="0" applyFont="0" applyFill="0" applyBorder="0" applyProtection="0">
      <alignment vertical="top"/>
    </xf>
    <xf numFmtId="168" fontId="2" fillId="0" borderId="0" applyFont="0" applyFill="0" applyBorder="0" applyProtection="0">
      <alignment vertical="top"/>
    </xf>
    <xf numFmtId="168" fontId="1" fillId="0" borderId="0" applyFont="0" applyFill="0" applyBorder="0" applyProtection="0">
      <alignment vertical="top"/>
    </xf>
    <xf numFmtId="0" fontId="3" fillId="0" borderId="0" applyNumberFormat="0" applyFill="0" applyBorder="0" applyAlignment="0" applyProtection="0"/>
    <xf numFmtId="169" fontId="4" fillId="2" borderId="1" applyProtection="0">
      <alignment vertical="top"/>
    </xf>
    <xf numFmtId="165" fontId="4" fillId="2" borderId="1" applyProtection="0">
      <alignment vertical="top"/>
    </xf>
    <xf numFmtId="164" fontId="4" fillId="2" borderId="1" applyProtection="0">
      <alignment vertical="top"/>
    </xf>
    <xf numFmtId="165" fontId="4" fillId="2" borderId="1" applyProtection="0">
      <alignment vertical="top"/>
    </xf>
    <xf numFmtId="165" fontId="1" fillId="0" borderId="0" applyFont="0" applyFill="0" applyBorder="0" applyProtection="0">
      <alignment vertical="top"/>
    </xf>
    <xf numFmtId="165" fontId="1" fillId="0" borderId="0" applyFont="0" applyFill="0" applyBorder="0" applyProtection="0">
      <alignment vertical="top"/>
    </xf>
    <xf numFmtId="165" fontId="2" fillId="0" borderId="0" applyFont="0" applyFill="0" applyBorder="0" applyProtection="0">
      <alignment vertical="top"/>
    </xf>
    <xf numFmtId="165" fontId="2" fillId="0" borderId="0" applyFont="0" applyFill="0" applyBorder="0" applyProtection="0">
      <alignment vertical="top"/>
    </xf>
    <xf numFmtId="165" fontId="1" fillId="0" borderId="0" applyFont="0" applyFill="0" applyBorder="0" applyProtection="0">
      <alignment vertical="top"/>
    </xf>
    <xf numFmtId="178" fontId="52" fillId="0" borderId="0" applyFont="0" applyFill="0" applyBorder="0" applyProtection="0">
      <alignment vertical="top"/>
    </xf>
    <xf numFmtId="169" fontId="1" fillId="0" borderId="0" applyFont="0" applyFill="0" applyBorder="0" applyProtection="0">
      <alignment vertical="top"/>
    </xf>
    <xf numFmtId="169" fontId="2" fillId="0" borderId="0" applyFont="0" applyFill="0" applyBorder="0" applyProtection="0">
      <alignment vertical="top"/>
    </xf>
    <xf numFmtId="169" fontId="1" fillId="0" borderId="0" applyFont="0" applyFill="0" applyBorder="0" applyProtection="0">
      <alignment vertical="top"/>
    </xf>
    <xf numFmtId="165" fontId="5" fillId="0" borderId="0" applyNumberFormat="0">
      <alignment horizontal="left" vertical="top" indent="4"/>
    </xf>
    <xf numFmtId="165" fontId="52" fillId="0" borderId="2" applyNumberFormat="0" applyFont="0" applyFill="0" applyAlignment="0">
      <alignment vertical="top"/>
    </xf>
    <xf numFmtId="165" fontId="52" fillId="0" borderId="3" applyNumberFormat="0" applyFont="0" applyFill="0" applyAlignment="0">
      <alignment vertical="top"/>
    </xf>
    <xf numFmtId="166" fontId="1" fillId="0" borderId="0" applyBorder="0">
      <alignment vertical="top"/>
    </xf>
    <xf numFmtId="9" fontId="1" fillId="0" borderId="0" applyBorder="0">
      <alignment vertical="top"/>
    </xf>
    <xf numFmtId="166" fontId="1" fillId="0" borderId="0" applyBorder="0">
      <alignment vertical="top"/>
    </xf>
    <xf numFmtId="167" fontId="4" fillId="0" borderId="0" applyBorder="0">
      <alignment vertical="top"/>
    </xf>
    <xf numFmtId="171" fontId="1" fillId="0" borderId="0" applyFont="0" applyFill="0" applyBorder="0" applyProtection="0">
      <alignment vertical="top"/>
    </xf>
    <xf numFmtId="171" fontId="1" fillId="0" borderId="0" applyFont="0" applyFill="0" applyBorder="0" applyProtection="0">
      <alignment vertical="top"/>
    </xf>
  </cellStyleXfs>
  <cellXfs count="343">
    <xf numFmtId="165" fontId="0" fillId="0" borderId="0" xfId="0">
      <alignment vertical="top"/>
    </xf>
    <xf numFmtId="165" fontId="0" fillId="0" borderId="3" xfId="29" applyFont="1">
      <alignment vertical="top"/>
    </xf>
    <xf numFmtId="165" fontId="1" fillId="0" borderId="0" xfId="1">
      <alignment vertical="top"/>
    </xf>
    <xf numFmtId="165" fontId="6" fillId="0" borderId="0" xfId="1" applyFont="1">
      <alignment vertical="top"/>
    </xf>
    <xf numFmtId="165" fontId="7" fillId="0" borderId="0" xfId="1" applyFont="1">
      <alignment vertical="top"/>
    </xf>
    <xf numFmtId="171" fontId="1" fillId="0" borderId="0" xfId="1" applyNumberFormat="1">
      <alignment vertical="top"/>
    </xf>
    <xf numFmtId="167" fontId="8" fillId="0" borderId="0" xfId="9" applyFont="1">
      <alignment vertical="top"/>
    </xf>
    <xf numFmtId="166" fontId="1" fillId="3" borderId="0" xfId="5" applyFont="1" applyFill="1" applyAlignment="1">
      <alignment horizontal="right" vertical="top"/>
    </xf>
    <xf numFmtId="167" fontId="1" fillId="0" borderId="0" xfId="4">
      <alignment vertical="top"/>
    </xf>
    <xf numFmtId="171" fontId="7" fillId="0" borderId="0" xfId="1" applyNumberFormat="1" applyFont="1">
      <alignment vertical="top"/>
    </xf>
    <xf numFmtId="166" fontId="1" fillId="0" borderId="0" xfId="30">
      <alignment vertical="top"/>
    </xf>
    <xf numFmtId="165" fontId="6" fillId="0" borderId="4" xfId="1" applyFont="1" applyBorder="1">
      <alignment vertical="top"/>
    </xf>
    <xf numFmtId="166" fontId="1" fillId="0" borderId="5" xfId="30" applyBorder="1">
      <alignment vertical="top"/>
    </xf>
    <xf numFmtId="167" fontId="6" fillId="0" borderId="0" xfId="4" applyFont="1">
      <alignment vertical="top"/>
    </xf>
    <xf numFmtId="171" fontId="6" fillId="0" borderId="0" xfId="1" applyNumberFormat="1" applyFont="1">
      <alignment vertical="top"/>
    </xf>
    <xf numFmtId="166" fontId="1" fillId="0" borderId="0" xfId="5" applyFont="1">
      <alignment vertical="top"/>
    </xf>
    <xf numFmtId="165" fontId="4" fillId="4" borderId="1" xfId="17" applyFill="1" applyProtection="1">
      <alignment vertical="top"/>
      <protection locked="0"/>
    </xf>
    <xf numFmtId="166" fontId="9" fillId="0" borderId="0" xfId="0" applyNumberFormat="1" applyFont="1">
      <alignment vertical="top"/>
    </xf>
    <xf numFmtId="165" fontId="10" fillId="0" borderId="0" xfId="18" applyFont="1">
      <alignment vertical="top"/>
    </xf>
    <xf numFmtId="166" fontId="1" fillId="0" borderId="3" xfId="29" applyNumberFormat="1" applyFont="1">
      <alignment vertical="top"/>
    </xf>
    <xf numFmtId="167" fontId="7" fillId="0" borderId="0" xfId="4" applyFont="1">
      <alignment vertical="top"/>
    </xf>
    <xf numFmtId="165" fontId="6" fillId="0" borderId="0" xfId="18" applyFont="1">
      <alignment vertical="top"/>
    </xf>
    <xf numFmtId="165" fontId="4" fillId="0" borderId="0" xfId="18" applyFont="1">
      <alignment vertical="top"/>
    </xf>
    <xf numFmtId="165" fontId="8" fillId="0" borderId="0" xfId="0" applyFont="1">
      <alignment vertical="top"/>
    </xf>
    <xf numFmtId="165" fontId="11" fillId="5" borderId="0" xfId="18" applyFont="1" applyFill="1" applyAlignment="1">
      <alignment vertical="center"/>
    </xf>
    <xf numFmtId="165" fontId="8" fillId="0" borderId="0" xfId="18" applyFont="1">
      <alignment vertical="top"/>
    </xf>
    <xf numFmtId="171" fontId="1" fillId="0" borderId="0" xfId="5" applyNumberFormat="1" applyFont="1">
      <alignment vertical="top"/>
    </xf>
    <xf numFmtId="165" fontId="7" fillId="0" borderId="0" xfId="18" applyFont="1" applyAlignment="1">
      <alignment horizontal="right" vertical="top"/>
    </xf>
    <xf numFmtId="165" fontId="12" fillId="0" borderId="0" xfId="18" applyFont="1">
      <alignment vertical="top"/>
    </xf>
    <xf numFmtId="165" fontId="1" fillId="5" borderId="0" xfId="18" applyFont="1" applyFill="1">
      <alignment vertical="top"/>
    </xf>
    <xf numFmtId="166" fontId="9" fillId="0" borderId="5" xfId="0" applyNumberFormat="1" applyFont="1" applyBorder="1">
      <alignment vertical="top"/>
    </xf>
    <xf numFmtId="169" fontId="4" fillId="4" borderId="1" xfId="14" applyFill="1" applyProtection="1">
      <alignment vertical="top"/>
      <protection locked="0"/>
    </xf>
    <xf numFmtId="171" fontId="4" fillId="0" borderId="0" xfId="34" applyFont="1">
      <alignment vertical="top"/>
    </xf>
    <xf numFmtId="165" fontId="6" fillId="0" borderId="4" xfId="18" applyFont="1" applyBorder="1">
      <alignment vertical="top"/>
    </xf>
    <xf numFmtId="165" fontId="13" fillId="0" borderId="0" xfId="18" applyFont="1">
      <alignment vertical="top"/>
    </xf>
    <xf numFmtId="168" fontId="7" fillId="0" borderId="0" xfId="1" applyNumberFormat="1" applyFont="1">
      <alignment vertical="top"/>
    </xf>
    <xf numFmtId="165" fontId="1" fillId="0" borderId="4" xfId="1" applyBorder="1">
      <alignment vertical="top"/>
    </xf>
    <xf numFmtId="168" fontId="1" fillId="0" borderId="0" xfId="1" applyNumberFormat="1">
      <alignment vertical="top"/>
    </xf>
    <xf numFmtId="168" fontId="6" fillId="0" borderId="0" xfId="1" applyNumberFormat="1" applyFont="1">
      <alignment vertical="top"/>
    </xf>
    <xf numFmtId="167" fontId="6" fillId="6" borderId="1" xfId="16" applyNumberFormat="1" applyFont="1" applyFill="1" applyProtection="1">
      <alignment vertical="top"/>
      <protection locked="0"/>
    </xf>
    <xf numFmtId="165" fontId="7" fillId="0" borderId="6" xfId="1" applyFont="1" applyBorder="1">
      <alignment vertical="top"/>
    </xf>
    <xf numFmtId="165" fontId="1" fillId="0" borderId="0" xfId="18" applyFont="1">
      <alignment vertical="top"/>
    </xf>
    <xf numFmtId="170" fontId="1" fillId="7" borderId="7" xfId="7" applyFont="1" applyFill="1" applyBorder="1">
      <alignment vertical="top"/>
    </xf>
    <xf numFmtId="169" fontId="7" fillId="0" borderId="0" xfId="2" applyFont="1">
      <alignment vertical="top"/>
    </xf>
    <xf numFmtId="166" fontId="1" fillId="0" borderId="0" xfId="0" applyNumberFormat="1" applyFont="1">
      <alignment vertical="top"/>
    </xf>
    <xf numFmtId="165" fontId="1" fillId="0" borderId="0" xfId="0" applyFont="1">
      <alignment vertical="top"/>
    </xf>
    <xf numFmtId="165" fontId="14" fillId="0" borderId="0" xfId="20" applyFont="1">
      <alignment vertical="top"/>
    </xf>
    <xf numFmtId="165" fontId="1" fillId="0" borderId="0" xfId="18">
      <alignment vertical="top"/>
    </xf>
    <xf numFmtId="165" fontId="15" fillId="0" borderId="0" xfId="0" applyFont="1" applyAlignment="1">
      <alignment horizontal="left" vertical="top"/>
    </xf>
    <xf numFmtId="165" fontId="16" fillId="0" borderId="0" xfId="0" applyFont="1">
      <alignment vertical="top"/>
    </xf>
    <xf numFmtId="165" fontId="4" fillId="0" borderId="0" xfId="0" applyFont="1">
      <alignment vertical="top"/>
    </xf>
    <xf numFmtId="165" fontId="17" fillId="0" borderId="0" xfId="0" applyFont="1">
      <alignment vertical="top"/>
    </xf>
    <xf numFmtId="177" fontId="1" fillId="8" borderId="0" xfId="0" applyNumberFormat="1" applyFont="1" applyFill="1" applyBorder="1" applyAlignment="1">
      <alignment horizontal="center" vertical="top"/>
    </xf>
    <xf numFmtId="165" fontId="18" fillId="0" borderId="0" xfId="13" applyNumberFormat="1" applyFont="1" applyAlignment="1">
      <alignment vertical="top"/>
    </xf>
    <xf numFmtId="166" fontId="1" fillId="0" borderId="5" xfId="0" applyNumberFormat="1" applyFont="1" applyBorder="1">
      <alignment vertical="top"/>
    </xf>
    <xf numFmtId="167" fontId="4" fillId="0" borderId="0" xfId="8" applyFont="1">
      <alignment vertical="top"/>
    </xf>
    <xf numFmtId="167" fontId="19" fillId="0" borderId="0" xfId="9" applyFont="1">
      <alignment vertical="top"/>
    </xf>
    <xf numFmtId="169" fontId="1" fillId="0" borderId="0" xfId="2">
      <alignment vertical="top"/>
    </xf>
    <xf numFmtId="165" fontId="17" fillId="0" borderId="0" xfId="18" applyFont="1">
      <alignment vertical="top"/>
    </xf>
    <xf numFmtId="165" fontId="15" fillId="0" borderId="0" xfId="18" applyFont="1" applyAlignment="1">
      <alignment horizontal="left" vertical="top"/>
    </xf>
    <xf numFmtId="165" fontId="10" fillId="0" borderId="6" xfId="18" applyFont="1" applyBorder="1">
      <alignment vertical="top"/>
    </xf>
    <xf numFmtId="167" fontId="4" fillId="4" borderId="1" xfId="16" applyNumberFormat="1" applyFill="1" applyProtection="1">
      <alignment vertical="top"/>
      <protection locked="0"/>
    </xf>
    <xf numFmtId="165" fontId="16" fillId="0" borderId="0" xfId="18" applyFont="1">
      <alignment vertical="top"/>
    </xf>
    <xf numFmtId="165" fontId="13" fillId="0" borderId="4" xfId="18" applyFont="1" applyBorder="1">
      <alignment vertical="top"/>
    </xf>
    <xf numFmtId="165" fontId="20" fillId="0" borderId="0" xfId="18" applyFont="1">
      <alignment vertical="top"/>
    </xf>
    <xf numFmtId="165" fontId="6" fillId="0" borderId="0" xfId="18" applyFont="1" applyAlignment="1">
      <alignment horizontal="right" vertical="top"/>
    </xf>
    <xf numFmtId="165" fontId="9" fillId="0" borderId="0" xfId="20" applyFont="1">
      <alignment vertical="top"/>
    </xf>
    <xf numFmtId="165" fontId="2" fillId="9" borderId="0" xfId="20" applyFill="1">
      <alignment vertical="top"/>
    </xf>
    <xf numFmtId="166" fontId="9" fillId="0" borderId="0" xfId="29" applyNumberFormat="1" applyFont="1" applyBorder="1">
      <alignment vertical="top"/>
    </xf>
    <xf numFmtId="169" fontId="2" fillId="9" borderId="0" xfId="20" applyNumberFormat="1" applyFill="1">
      <alignment vertical="top"/>
    </xf>
    <xf numFmtId="169" fontId="9" fillId="0" borderId="0" xfId="20" applyNumberFormat="1" applyFont="1">
      <alignment vertical="top"/>
    </xf>
    <xf numFmtId="165" fontId="21" fillId="0" borderId="0" xfId="18" applyFont="1">
      <alignment vertical="top"/>
    </xf>
    <xf numFmtId="165" fontId="21" fillId="0" borderId="0" xfId="0" applyFont="1">
      <alignment vertical="top"/>
    </xf>
    <xf numFmtId="165" fontId="14" fillId="0" borderId="0" xfId="0" applyFont="1">
      <alignment vertical="top"/>
    </xf>
    <xf numFmtId="165" fontId="22" fillId="0" borderId="0" xfId="0" applyFont="1">
      <alignment vertical="top"/>
    </xf>
    <xf numFmtId="165" fontId="1" fillId="0" borderId="0" xfId="0" applyFont="1" applyAlignment="1">
      <alignment horizontal="left" vertical="top"/>
    </xf>
    <xf numFmtId="165" fontId="21" fillId="0" borderId="0" xfId="0" applyFont="1" applyAlignment="1">
      <alignment horizontal="left" vertical="top"/>
    </xf>
    <xf numFmtId="165" fontId="23" fillId="0" borderId="0" xfId="0" applyFont="1">
      <alignment vertical="top"/>
    </xf>
    <xf numFmtId="165" fontId="4" fillId="0" borderId="0" xfId="0" applyFont="1" applyAlignment="1">
      <alignment horizontal="left" vertical="top"/>
    </xf>
    <xf numFmtId="165" fontId="0" fillId="0" borderId="0" xfId="0" applyAlignment="1">
      <alignment horizontal="left" vertical="top"/>
    </xf>
    <xf numFmtId="165" fontId="1" fillId="0" borderId="6" xfId="18" applyBorder="1">
      <alignment vertical="top"/>
    </xf>
    <xf numFmtId="165" fontId="14" fillId="0" borderId="0" xfId="18" applyFont="1">
      <alignment vertical="top"/>
    </xf>
    <xf numFmtId="165" fontId="12" fillId="0" borderId="6" xfId="18" applyFont="1" applyBorder="1">
      <alignment vertical="top"/>
    </xf>
    <xf numFmtId="165" fontId="22" fillId="0" borderId="0" xfId="18" applyFont="1">
      <alignment vertical="top"/>
    </xf>
    <xf numFmtId="165" fontId="23" fillId="0" borderId="0" xfId="18" applyFont="1">
      <alignment vertical="top"/>
    </xf>
    <xf numFmtId="165" fontId="7" fillId="0" borderId="6" xfId="18" applyFont="1" applyBorder="1" applyAlignment="1">
      <alignment horizontal="right" vertical="top"/>
    </xf>
    <xf numFmtId="165" fontId="1" fillId="0" borderId="4" xfId="18" applyBorder="1">
      <alignment vertical="top"/>
    </xf>
    <xf numFmtId="165" fontId="1" fillId="0" borderId="6" xfId="1" applyBorder="1">
      <alignment vertical="top"/>
    </xf>
    <xf numFmtId="165" fontId="1" fillId="0" borderId="0" xfId="20" applyFont="1">
      <alignment vertical="top"/>
    </xf>
    <xf numFmtId="165" fontId="20" fillId="0" borderId="4" xfId="18" applyFont="1" applyBorder="1">
      <alignment vertical="top"/>
    </xf>
    <xf numFmtId="165" fontId="4" fillId="0" borderId="0" xfId="18" applyFont="1" applyAlignment="1">
      <alignment horizontal="right" vertical="top"/>
    </xf>
    <xf numFmtId="165" fontId="6" fillId="0" borderId="4" xfId="18" applyFont="1" applyBorder="1" applyAlignment="1">
      <alignment horizontal="right" vertical="top"/>
    </xf>
    <xf numFmtId="165" fontId="1" fillId="0" borderId="0" xfId="18" applyFont="1" applyAlignment="1">
      <alignment horizontal="right" vertical="top"/>
    </xf>
    <xf numFmtId="165" fontId="1" fillId="0" borderId="8" xfId="1" applyBorder="1">
      <alignment vertical="top"/>
    </xf>
    <xf numFmtId="165" fontId="1" fillId="0" borderId="0" xfId="18" applyAlignment="1">
      <alignment horizontal="right" vertical="top"/>
    </xf>
    <xf numFmtId="165" fontId="21" fillId="0" borderId="0" xfId="18" applyFont="1" applyAlignment="1">
      <alignment horizontal="right" vertical="top"/>
    </xf>
    <xf numFmtId="165" fontId="2" fillId="0" borderId="0" xfId="20">
      <alignment vertical="top"/>
    </xf>
    <xf numFmtId="165" fontId="1" fillId="0" borderId="0" xfId="18" applyFont="1" applyFill="1" applyBorder="1">
      <alignment vertical="top"/>
    </xf>
    <xf numFmtId="171" fontId="24" fillId="0" borderId="0" xfId="35" applyFont="1" applyAlignment="1">
      <alignment horizontal="center" vertical="top"/>
    </xf>
    <xf numFmtId="167" fontId="9" fillId="0" borderId="0" xfId="20" applyNumberFormat="1" applyFont="1">
      <alignment vertical="top"/>
    </xf>
    <xf numFmtId="169" fontId="2" fillId="0" borderId="0" xfId="20" applyNumberFormat="1">
      <alignment vertical="top"/>
    </xf>
    <xf numFmtId="169" fontId="1" fillId="0" borderId="8" xfId="2" applyBorder="1">
      <alignment vertical="top"/>
    </xf>
    <xf numFmtId="165" fontId="4" fillId="0" borderId="0" xfId="18" applyFont="1" applyFill="1">
      <alignment vertical="top"/>
    </xf>
    <xf numFmtId="165" fontId="25" fillId="0" borderId="0" xfId="0" applyFont="1">
      <alignment vertical="top"/>
    </xf>
    <xf numFmtId="167" fontId="2" fillId="9" borderId="0" xfId="20" applyNumberFormat="1" applyFill="1">
      <alignment vertical="top"/>
    </xf>
    <xf numFmtId="166" fontId="1" fillId="7" borderId="7" xfId="5" applyFont="1" applyFill="1" applyBorder="1" applyAlignment="1">
      <alignment horizontal="center" vertical="top"/>
    </xf>
    <xf numFmtId="165" fontId="8" fillId="0" borderId="0" xfId="18" applyFont="1" applyFill="1" applyBorder="1">
      <alignment vertical="top"/>
    </xf>
    <xf numFmtId="165" fontId="1" fillId="0" borderId="0" xfId="18" applyFont="1" applyFill="1">
      <alignment vertical="top"/>
    </xf>
    <xf numFmtId="165" fontId="8" fillId="0" borderId="0" xfId="20" applyFont="1">
      <alignment vertical="top"/>
    </xf>
    <xf numFmtId="165" fontId="9" fillId="0" borderId="0" xfId="0" applyFont="1">
      <alignment vertical="top"/>
    </xf>
    <xf numFmtId="166" fontId="1" fillId="0" borderId="0" xfId="29" applyNumberFormat="1" applyFont="1" applyBorder="1">
      <alignment vertical="top"/>
    </xf>
    <xf numFmtId="169" fontId="1" fillId="0" borderId="0" xfId="26" applyFont="1" applyFill="1" applyBorder="1">
      <alignment vertical="top"/>
    </xf>
    <xf numFmtId="167" fontId="8" fillId="7" borderId="7" xfId="9" applyFont="1" applyFill="1" applyBorder="1" applyAlignment="1">
      <alignment horizontal="center" vertical="center"/>
    </xf>
    <xf numFmtId="165" fontId="1" fillId="9" borderId="0" xfId="18" applyFont="1" applyFill="1">
      <alignment vertical="top"/>
    </xf>
    <xf numFmtId="169" fontId="7" fillId="0" borderId="0" xfId="26" applyFont="1" applyFill="1">
      <alignment vertical="top"/>
    </xf>
    <xf numFmtId="165" fontId="1" fillId="10" borderId="0" xfId="18" applyFont="1" applyFill="1">
      <alignment vertical="top"/>
    </xf>
    <xf numFmtId="165" fontId="26" fillId="0" borderId="0" xfId="0" applyFont="1">
      <alignment vertical="top"/>
    </xf>
    <xf numFmtId="165" fontId="1" fillId="0" borderId="0" xfId="22">
      <alignment vertical="top"/>
    </xf>
    <xf numFmtId="166" fontId="1" fillId="9" borderId="0" xfId="5" applyFont="1" applyFill="1">
      <alignment vertical="top"/>
    </xf>
    <xf numFmtId="169" fontId="1" fillId="10" borderId="0" xfId="26" applyFont="1" applyFill="1">
      <alignment vertical="top"/>
    </xf>
    <xf numFmtId="165" fontId="1" fillId="9" borderId="0" xfId="20" applyFont="1" applyFill="1">
      <alignment vertical="top"/>
    </xf>
    <xf numFmtId="167" fontId="6" fillId="6" borderId="0" xfId="18" applyNumberFormat="1" applyFont="1" applyFill="1">
      <alignment vertical="top"/>
    </xf>
    <xf numFmtId="169" fontId="1" fillId="9" borderId="0" xfId="26" applyFont="1" applyFill="1">
      <alignment vertical="top"/>
    </xf>
    <xf numFmtId="165" fontId="4" fillId="0" borderId="0" xfId="18" applyFont="1" applyFill="1" applyBorder="1">
      <alignment vertical="top"/>
    </xf>
    <xf numFmtId="167" fontId="1" fillId="0" borderId="8" xfId="4" applyBorder="1">
      <alignment vertical="top"/>
    </xf>
    <xf numFmtId="167" fontId="2" fillId="0" borderId="0" xfId="20" applyNumberFormat="1">
      <alignment vertical="top"/>
    </xf>
    <xf numFmtId="165" fontId="1" fillId="0" borderId="0" xfId="18" applyFont="1" applyFill="1" applyBorder="1" applyAlignment="1">
      <alignment horizontal="right" vertical="top"/>
    </xf>
    <xf numFmtId="165" fontId="1" fillId="0" borderId="0" xfId="18" applyFont="1" applyBorder="1">
      <alignment vertical="top"/>
    </xf>
    <xf numFmtId="169" fontId="8" fillId="0" borderId="0" xfId="26" applyFont="1" applyFill="1" applyBorder="1">
      <alignment vertical="top"/>
    </xf>
    <xf numFmtId="169" fontId="0" fillId="0" borderId="0" xfId="26" applyFont="1">
      <alignment vertical="top"/>
    </xf>
    <xf numFmtId="165" fontId="27" fillId="0" borderId="0" xfId="0" applyFont="1">
      <alignment vertical="top"/>
    </xf>
    <xf numFmtId="166" fontId="1" fillId="7" borderId="9" xfId="5" applyFont="1" applyFill="1" applyBorder="1" applyAlignment="1">
      <alignment horizontal="center" vertical="top"/>
    </xf>
    <xf numFmtId="165" fontId="28" fillId="0" borderId="0" xfId="22" applyFont="1" applyFill="1">
      <alignment vertical="top"/>
    </xf>
    <xf numFmtId="165" fontId="28" fillId="0" borderId="0" xfId="22" applyFont="1">
      <alignment vertical="top"/>
    </xf>
    <xf numFmtId="167" fontId="1" fillId="0" borderId="0" xfId="9">
      <alignment vertical="top"/>
    </xf>
    <xf numFmtId="165" fontId="16" fillId="0" borderId="0" xfId="18" applyFont="1" applyFill="1" applyBorder="1">
      <alignment vertical="top"/>
    </xf>
    <xf numFmtId="173" fontId="1" fillId="11" borderId="7" xfId="18" applyNumberFormat="1" applyFont="1" applyFill="1" applyBorder="1" applyAlignment="1">
      <alignment horizontal="center" vertical="top"/>
    </xf>
    <xf numFmtId="166" fontId="1" fillId="0" borderId="9" xfId="5" applyFont="1" applyFill="1" applyBorder="1" applyAlignment="1">
      <alignment horizontal="center" vertical="top"/>
    </xf>
    <xf numFmtId="165" fontId="1" fillId="7" borderId="7" xfId="18" applyFont="1" applyFill="1" applyBorder="1" applyAlignment="1">
      <alignment horizontal="center" vertical="top"/>
    </xf>
    <xf numFmtId="165" fontId="16" fillId="0" borderId="0" xfId="20" applyFont="1">
      <alignment vertical="top"/>
    </xf>
    <xf numFmtId="167" fontId="1" fillId="11" borderId="7" xfId="9" applyFont="1" applyFill="1" applyBorder="1" applyAlignment="1">
      <alignment horizontal="center" vertical="top"/>
    </xf>
    <xf numFmtId="168" fontId="1" fillId="0" borderId="0" xfId="12" applyFont="1" applyFill="1" applyBorder="1">
      <alignment vertical="top"/>
    </xf>
    <xf numFmtId="165" fontId="1" fillId="0" borderId="0" xfId="20" applyFont="1" applyAlignment="1">
      <alignment horizontal="left" vertical="top"/>
    </xf>
    <xf numFmtId="166" fontId="4" fillId="9" borderId="0" xfId="18" applyNumberFormat="1" applyFont="1" applyFill="1">
      <alignment vertical="top"/>
    </xf>
    <xf numFmtId="165" fontId="8" fillId="0" borderId="0" xfId="18" applyFont="1" applyBorder="1">
      <alignment vertical="top"/>
    </xf>
    <xf numFmtId="165" fontId="4" fillId="10" borderId="0" xfId="18" applyFont="1" applyFill="1">
      <alignment vertical="top"/>
    </xf>
    <xf numFmtId="172" fontId="1" fillId="0" borderId="0" xfId="18" applyNumberFormat="1" applyFont="1" applyFill="1" applyBorder="1" applyAlignment="1">
      <alignment vertical="top" wrapText="1"/>
    </xf>
    <xf numFmtId="172" fontId="4" fillId="10" borderId="0" xfId="9" applyNumberFormat="1" applyFont="1" applyFill="1">
      <alignment vertical="top"/>
    </xf>
    <xf numFmtId="165" fontId="4" fillId="0" borderId="0" xfId="22" applyFont="1">
      <alignment vertical="top"/>
    </xf>
    <xf numFmtId="165" fontId="1" fillId="0" borderId="0" xfId="18" applyFont="1" applyBorder="1" applyAlignment="1">
      <alignment horizontal="right" vertical="top"/>
    </xf>
    <xf numFmtId="166" fontId="1" fillId="0" borderId="0" xfId="18" applyNumberFormat="1" applyFont="1" applyFill="1">
      <alignment vertical="top"/>
    </xf>
    <xf numFmtId="168" fontId="7" fillId="0" borderId="0" xfId="12" applyFont="1" applyFill="1">
      <alignment vertical="top"/>
    </xf>
    <xf numFmtId="0" fontId="29" fillId="0" borderId="0" xfId="5" applyNumberFormat="1" applyFont="1" applyAlignment="1">
      <alignment horizontal="center" vertical="center"/>
    </xf>
    <xf numFmtId="165" fontId="4" fillId="10" borderId="0" xfId="18" applyFont="1" applyFill="1" applyBorder="1">
      <alignment vertical="top"/>
    </xf>
    <xf numFmtId="165" fontId="4" fillId="11" borderId="0" xfId="18" applyFont="1" applyFill="1">
      <alignment vertical="top"/>
    </xf>
    <xf numFmtId="168" fontId="1" fillId="10" borderId="0" xfId="12" applyFont="1" applyFill="1">
      <alignment vertical="top"/>
    </xf>
    <xf numFmtId="167" fontId="1" fillId="9" borderId="0" xfId="9" applyFont="1" applyFill="1">
      <alignment vertical="top"/>
    </xf>
    <xf numFmtId="167" fontId="4" fillId="0" borderId="0" xfId="33">
      <alignment vertical="top"/>
    </xf>
    <xf numFmtId="168" fontId="1" fillId="9" borderId="0" xfId="12" applyFont="1" applyFill="1">
      <alignment vertical="top"/>
    </xf>
    <xf numFmtId="167" fontId="1" fillId="0" borderId="0" xfId="9" applyFont="1">
      <alignment vertical="top"/>
    </xf>
    <xf numFmtId="166" fontId="4" fillId="9" borderId="0" xfId="5" applyFont="1" applyFill="1">
      <alignment vertical="top"/>
    </xf>
    <xf numFmtId="169" fontId="16" fillId="0" borderId="0" xfId="26" applyFont="1" applyBorder="1">
      <alignment vertical="top"/>
    </xf>
    <xf numFmtId="174" fontId="31" fillId="0" borderId="0" xfId="22" applyNumberFormat="1" applyFont="1" applyAlignment="1">
      <alignment horizontal="center" vertical="center"/>
    </xf>
    <xf numFmtId="166" fontId="8" fillId="0" borderId="0" xfId="18" applyNumberFormat="1" applyFont="1" applyFill="1" applyBorder="1">
      <alignment vertical="top"/>
    </xf>
    <xf numFmtId="165" fontId="8" fillId="9" borderId="0" xfId="18" applyFont="1" applyFill="1" applyBorder="1">
      <alignment vertical="top"/>
    </xf>
    <xf numFmtId="165" fontId="16" fillId="0" borderId="0" xfId="18" applyFont="1" applyBorder="1">
      <alignment vertical="top"/>
    </xf>
    <xf numFmtId="165" fontId="32" fillId="5" borderId="0" xfId="18" applyFont="1" applyFill="1" applyAlignment="1">
      <alignment vertical="center"/>
    </xf>
    <xf numFmtId="165" fontId="8" fillId="0" borderId="4" xfId="18" applyFont="1" applyBorder="1">
      <alignment vertical="top"/>
    </xf>
    <xf numFmtId="9" fontId="1" fillId="0" borderId="0" xfId="31">
      <alignment vertical="top"/>
    </xf>
    <xf numFmtId="165" fontId="1" fillId="5" borderId="0" xfId="18" applyFill="1">
      <alignment vertical="top"/>
    </xf>
    <xf numFmtId="165" fontId="16" fillId="0" borderId="0" xfId="22" applyFont="1" applyBorder="1">
      <alignment vertical="top"/>
    </xf>
    <xf numFmtId="165" fontId="33" fillId="0" borderId="0" xfId="0" applyFont="1">
      <alignment vertical="top"/>
    </xf>
    <xf numFmtId="166" fontId="4" fillId="9" borderId="0" xfId="5" applyFont="1" applyFill="1" applyBorder="1">
      <alignment vertical="top"/>
    </xf>
    <xf numFmtId="169" fontId="1" fillId="0" borderId="0" xfId="26" applyFont="1" applyFill="1">
      <alignment vertical="top"/>
    </xf>
    <xf numFmtId="164" fontId="4" fillId="7" borderId="1" xfId="16" applyFill="1">
      <alignment vertical="top"/>
    </xf>
    <xf numFmtId="165" fontId="8" fillId="0" borderId="0" xfId="20" applyFont="1" applyAlignment="1">
      <alignment vertical="top" wrapText="1"/>
    </xf>
    <xf numFmtId="171" fontId="1" fillId="9" borderId="0" xfId="35" applyFont="1" applyFill="1">
      <alignment vertical="top"/>
    </xf>
    <xf numFmtId="166" fontId="8" fillId="9" borderId="0" xfId="18" applyNumberFormat="1" applyFont="1" applyFill="1" applyBorder="1">
      <alignment vertical="top"/>
    </xf>
    <xf numFmtId="166" fontId="4" fillId="9" borderId="0" xfId="18" applyNumberFormat="1" applyFont="1" applyFill="1" applyAlignment="1">
      <alignment horizontal="left"/>
    </xf>
    <xf numFmtId="165" fontId="13" fillId="6" borderId="0" xfId="18" applyFont="1" applyFill="1">
      <alignment vertical="top"/>
    </xf>
    <xf numFmtId="165" fontId="34" fillId="0" borderId="0" xfId="0" applyFont="1">
      <alignment vertical="top"/>
    </xf>
    <xf numFmtId="165" fontId="28" fillId="9" borderId="0" xfId="22" applyFont="1" applyFill="1">
      <alignment vertical="top"/>
    </xf>
    <xf numFmtId="166" fontId="1" fillId="0" borderId="0" xfId="32">
      <alignment vertical="top"/>
    </xf>
    <xf numFmtId="172" fontId="8" fillId="0" borderId="0" xfId="9" applyNumberFormat="1" applyFont="1" applyFill="1" applyBorder="1">
      <alignment vertical="top"/>
    </xf>
    <xf numFmtId="165" fontId="35" fillId="0" borderId="0" xfId="0" applyFont="1">
      <alignment vertical="top"/>
    </xf>
    <xf numFmtId="165" fontId="4" fillId="0" borderId="0" xfId="22" applyFont="1" applyFill="1">
      <alignment vertical="top"/>
    </xf>
    <xf numFmtId="165" fontId="1" fillId="0" borderId="0" xfId="3">
      <alignment vertical="top"/>
    </xf>
    <xf numFmtId="169" fontId="4" fillId="7" borderId="1" xfId="14" applyFill="1">
      <alignment vertical="top"/>
    </xf>
    <xf numFmtId="165" fontId="1" fillId="0" borderId="0" xfId="18" applyFont="1" applyFill="1" applyAlignment="1">
      <alignment horizontal="right" vertical="top"/>
    </xf>
    <xf numFmtId="169" fontId="36" fillId="0" borderId="0" xfId="26" applyFont="1" applyFill="1">
      <alignment vertical="top"/>
    </xf>
    <xf numFmtId="165" fontId="37" fillId="0" borderId="0" xfId="0" applyFont="1">
      <alignment vertical="top"/>
    </xf>
    <xf numFmtId="165" fontId="38" fillId="0" borderId="0" xfId="20" applyFont="1">
      <alignment vertical="top"/>
    </xf>
    <xf numFmtId="168" fontId="8" fillId="0" borderId="0" xfId="12" applyFont="1" applyFill="1" applyBorder="1">
      <alignment vertical="top"/>
    </xf>
    <xf numFmtId="165" fontId="4" fillId="7" borderId="1" xfId="15" applyFill="1">
      <alignment vertical="top"/>
    </xf>
    <xf numFmtId="165" fontId="1" fillId="0" borderId="0" xfId="22" applyFont="1">
      <alignment vertical="top"/>
    </xf>
    <xf numFmtId="170" fontId="1" fillId="9" borderId="0" xfId="7" applyFont="1" applyFill="1">
      <alignment vertical="top"/>
    </xf>
    <xf numFmtId="165" fontId="21" fillId="0" borderId="0" xfId="18" applyFont="1" applyAlignment="1">
      <alignment horizontal="left" vertical="top"/>
    </xf>
    <xf numFmtId="167" fontId="8" fillId="9" borderId="0" xfId="9" applyFont="1" applyFill="1">
      <alignment vertical="top"/>
    </xf>
    <xf numFmtId="165" fontId="4" fillId="7" borderId="1" xfId="17" applyFill="1">
      <alignment vertical="top"/>
    </xf>
    <xf numFmtId="169" fontId="1" fillId="0" borderId="0" xfId="26">
      <alignment vertical="top"/>
    </xf>
    <xf numFmtId="169" fontId="4" fillId="0" borderId="0" xfId="26" applyFont="1">
      <alignment vertical="top"/>
    </xf>
    <xf numFmtId="165" fontId="1" fillId="0" borderId="0" xfId="18" applyFont="1" applyAlignment="1">
      <alignment horizontal="left" vertical="top"/>
    </xf>
    <xf numFmtId="165" fontId="39" fillId="5" borderId="0" xfId="18" applyFont="1" applyFill="1">
      <alignment vertical="top"/>
    </xf>
    <xf numFmtId="165" fontId="4" fillId="0" borderId="0" xfId="18" applyFont="1" applyAlignment="1">
      <alignment horizontal="left" vertical="top"/>
    </xf>
    <xf numFmtId="165" fontId="4" fillId="0" borderId="0" xfId="18" applyFont="1" applyFill="1" applyAlignment="1">
      <alignment horizontal="right" vertical="top"/>
    </xf>
    <xf numFmtId="165" fontId="9" fillId="9" borderId="0" xfId="20" applyFont="1" applyFill="1">
      <alignment vertical="top"/>
    </xf>
    <xf numFmtId="172" fontId="16" fillId="0" borderId="0" xfId="9" applyNumberFormat="1" applyFont="1" applyFill="1" applyBorder="1">
      <alignment vertical="top"/>
    </xf>
    <xf numFmtId="165" fontId="4" fillId="0" borderId="0" xfId="22" applyFont="1" applyBorder="1">
      <alignment vertical="top"/>
    </xf>
    <xf numFmtId="165" fontId="16" fillId="0" borderId="4" xfId="18" applyFont="1" applyBorder="1">
      <alignment vertical="top"/>
    </xf>
    <xf numFmtId="169" fontId="6" fillId="0" borderId="0" xfId="2" applyFont="1">
      <alignment vertical="top"/>
    </xf>
    <xf numFmtId="165" fontId="28" fillId="0" borderId="0" xfId="22" applyFont="1" applyBorder="1">
      <alignment vertical="top"/>
    </xf>
    <xf numFmtId="165" fontId="8" fillId="0" borderId="10" xfId="18" applyFont="1" applyBorder="1">
      <alignment vertical="top"/>
    </xf>
    <xf numFmtId="169" fontId="4" fillId="0" borderId="0" xfId="26" applyFont="1" applyBorder="1">
      <alignment vertical="top"/>
    </xf>
    <xf numFmtId="165" fontId="16" fillId="9" borderId="0" xfId="18" applyFont="1" applyFill="1" applyBorder="1">
      <alignment vertical="top"/>
    </xf>
    <xf numFmtId="169" fontId="1" fillId="0" borderId="0" xfId="26" applyFont="1">
      <alignment vertical="top"/>
    </xf>
    <xf numFmtId="165" fontId="0" fillId="0" borderId="3" xfId="0" applyBorder="1">
      <alignment vertical="top"/>
    </xf>
    <xf numFmtId="165" fontId="17" fillId="0" borderId="0" xfId="18" applyFont="1" applyFill="1">
      <alignment vertical="top"/>
    </xf>
    <xf numFmtId="165" fontId="40" fillId="0" borderId="0" xfId="0" applyFont="1">
      <alignment vertical="top"/>
    </xf>
    <xf numFmtId="166" fontId="8" fillId="0" borderId="0" xfId="5" applyFont="1">
      <alignment vertical="top"/>
    </xf>
    <xf numFmtId="165" fontId="41" fillId="0" borderId="0" xfId="18" applyFont="1" applyFill="1">
      <alignment vertical="top"/>
    </xf>
    <xf numFmtId="168" fontId="36" fillId="0" borderId="0" xfId="12" applyFont="1" applyFill="1">
      <alignment vertical="top"/>
    </xf>
    <xf numFmtId="172" fontId="4" fillId="0" borderId="0" xfId="9" applyNumberFormat="1" applyFont="1">
      <alignment vertical="top"/>
    </xf>
    <xf numFmtId="165" fontId="1" fillId="7" borderId="7" xfId="18" applyFont="1" applyFill="1" applyBorder="1" applyAlignment="1">
      <alignment horizontal="center" vertical="top" wrapText="1"/>
    </xf>
    <xf numFmtId="166" fontId="19" fillId="0" borderId="0" xfId="18" applyNumberFormat="1" applyFont="1" applyBorder="1" applyAlignment="1">
      <alignment horizontal="left" vertical="top"/>
    </xf>
    <xf numFmtId="165" fontId="0" fillId="0" borderId="2" xfId="28" applyFont="1">
      <alignment vertical="top"/>
    </xf>
    <xf numFmtId="165" fontId="1" fillId="9" borderId="0" xfId="22" applyFill="1">
      <alignment vertical="top"/>
    </xf>
    <xf numFmtId="166" fontId="42" fillId="0" borderId="0" xfId="18" applyNumberFormat="1" applyFont="1" applyFill="1">
      <alignment vertical="top"/>
    </xf>
    <xf numFmtId="165" fontId="21" fillId="0" borderId="0" xfId="18" applyFont="1" applyFill="1">
      <alignment vertical="top"/>
    </xf>
    <xf numFmtId="166" fontId="1" fillId="9" borderId="0" xfId="18" applyNumberFormat="1" applyFont="1" applyFill="1" applyBorder="1" applyAlignment="1">
      <alignment horizontal="right" vertical="top"/>
    </xf>
    <xf numFmtId="165" fontId="4" fillId="0" borderId="7" xfId="18" applyFont="1" applyFill="1" applyBorder="1" applyAlignment="1">
      <alignment horizontal="right" vertical="top"/>
    </xf>
    <xf numFmtId="173" fontId="1" fillId="0" borderId="7" xfId="18" applyNumberFormat="1" applyFont="1" applyFill="1" applyBorder="1" applyAlignment="1">
      <alignment horizontal="center" vertical="top"/>
    </xf>
    <xf numFmtId="165" fontId="43" fillId="0" borderId="0" xfId="0" applyFont="1">
      <alignment vertical="top"/>
    </xf>
    <xf numFmtId="165" fontId="1" fillId="0" borderId="0" xfId="22" applyFont="1" applyFill="1" applyBorder="1">
      <alignment vertical="top"/>
    </xf>
    <xf numFmtId="165" fontId="16" fillId="0" borderId="0" xfId="20" applyFont="1" applyAlignment="1">
      <alignment vertical="top" wrapText="1"/>
    </xf>
    <xf numFmtId="166" fontId="1" fillId="0" borderId="0" xfId="18" applyNumberFormat="1" applyFont="1" applyFill="1" applyBorder="1">
      <alignment vertical="top"/>
    </xf>
    <xf numFmtId="167" fontId="1" fillId="0" borderId="0" xfId="9" applyFont="1" applyBorder="1">
      <alignment vertical="top"/>
    </xf>
    <xf numFmtId="169" fontId="21" fillId="0" borderId="0" xfId="26" applyFont="1">
      <alignment vertical="top"/>
    </xf>
    <xf numFmtId="165" fontId="1" fillId="9" borderId="0" xfId="18" applyFont="1" applyFill="1" applyBorder="1" applyAlignment="1">
      <alignment horizontal="right" vertical="top"/>
    </xf>
    <xf numFmtId="166" fontId="16" fillId="0" borderId="0" xfId="18" applyNumberFormat="1" applyFont="1" applyFill="1" applyBorder="1">
      <alignment vertical="top"/>
    </xf>
    <xf numFmtId="165" fontId="4" fillId="9" borderId="0" xfId="22" applyFont="1" applyFill="1">
      <alignment vertical="top"/>
    </xf>
    <xf numFmtId="165" fontId="23" fillId="0" borderId="0" xfId="18" applyFont="1" applyFill="1" applyBorder="1">
      <alignment vertical="top"/>
    </xf>
    <xf numFmtId="165" fontId="38" fillId="0" borderId="0" xfId="20" applyFont="1" applyAlignment="1">
      <alignment horizontal="left" vertical="top"/>
    </xf>
    <xf numFmtId="165" fontId="1" fillId="0" borderId="4" xfId="18" applyBorder="1" applyAlignment="1">
      <alignment horizontal="right" vertical="top"/>
    </xf>
    <xf numFmtId="165" fontId="44" fillId="0" borderId="0" xfId="22" applyFont="1" applyBorder="1">
      <alignment vertical="top"/>
    </xf>
    <xf numFmtId="165" fontId="1" fillId="0" borderId="0" xfId="22" applyFill="1">
      <alignment vertical="top"/>
    </xf>
    <xf numFmtId="165" fontId="8" fillId="0" borderId="11" xfId="0" applyFont="1" applyBorder="1" applyAlignment="1">
      <alignment horizontal="center" vertical="center"/>
    </xf>
    <xf numFmtId="172" fontId="4" fillId="0" borderId="7" xfId="9" applyNumberFormat="1" applyFont="1" applyFill="1" applyBorder="1" applyAlignment="1">
      <alignment horizontal="right" vertical="top"/>
    </xf>
    <xf numFmtId="165" fontId="8" fillId="7" borderId="7" xfId="0" applyFont="1" applyFill="1" applyBorder="1" applyAlignment="1">
      <alignment horizontal="center" vertical="top"/>
    </xf>
    <xf numFmtId="167" fontId="4" fillId="0" borderId="0" xfId="9" applyFont="1">
      <alignment vertical="top"/>
    </xf>
    <xf numFmtId="164" fontId="1" fillId="0" borderId="0" xfId="0" applyNumberFormat="1" applyFont="1">
      <alignment vertical="top"/>
    </xf>
    <xf numFmtId="166" fontId="1" fillId="0" borderId="0" xfId="5" applyFont="1" applyFill="1">
      <alignment vertical="top"/>
    </xf>
    <xf numFmtId="165" fontId="9" fillId="0" borderId="11" xfId="0" applyFont="1" applyBorder="1" applyAlignment="1">
      <alignment horizontal="center" vertical="top"/>
    </xf>
    <xf numFmtId="165" fontId="6" fillId="6" borderId="0" xfId="18" applyFont="1" applyFill="1" applyAlignment="1">
      <alignment horizontal="left" vertical="top"/>
    </xf>
    <xf numFmtId="169" fontId="4" fillId="0" borderId="0" xfId="26" applyFont="1" applyFill="1">
      <alignment vertical="top"/>
    </xf>
    <xf numFmtId="166" fontId="14" fillId="0" borderId="0" xfId="5" applyFont="1" applyFill="1">
      <alignment vertical="top"/>
    </xf>
    <xf numFmtId="165" fontId="21" fillId="0" borderId="0" xfId="22" applyFont="1">
      <alignment vertical="top"/>
    </xf>
    <xf numFmtId="171" fontId="45" fillId="0" borderId="7" xfId="35" applyFont="1" applyFill="1" applyBorder="1" applyAlignment="1">
      <alignment horizontal="center" vertical="top"/>
    </xf>
    <xf numFmtId="165" fontId="46" fillId="5" borderId="0" xfId="18" applyFont="1" applyFill="1">
      <alignment vertical="top"/>
    </xf>
    <xf numFmtId="165" fontId="28" fillId="12" borderId="7" xfId="22" applyFont="1" applyFill="1" applyBorder="1">
      <alignment vertical="top"/>
    </xf>
    <xf numFmtId="175" fontId="36" fillId="0" borderId="0" xfId="18" applyNumberFormat="1" applyFont="1" applyFill="1">
      <alignment vertical="top"/>
    </xf>
    <xf numFmtId="165" fontId="4" fillId="9" borderId="0" xfId="18" applyFont="1" applyFill="1">
      <alignment vertical="top"/>
    </xf>
    <xf numFmtId="165" fontId="4" fillId="12" borderId="7" xfId="0" applyFont="1" applyFill="1" applyBorder="1" applyAlignment="1">
      <alignment horizontal="center" vertical="top"/>
    </xf>
    <xf numFmtId="165" fontId="1" fillId="9" borderId="0" xfId="22" applyFont="1" applyFill="1">
      <alignment vertical="top"/>
    </xf>
    <xf numFmtId="165" fontId="17" fillId="9" borderId="0" xfId="18" applyFont="1" applyFill="1">
      <alignment vertical="top"/>
    </xf>
    <xf numFmtId="165" fontId="1" fillId="9" borderId="0" xfId="18" applyFont="1" applyFill="1" applyAlignment="1">
      <alignment horizontal="right" vertical="top"/>
    </xf>
    <xf numFmtId="167" fontId="16" fillId="0" borderId="0" xfId="9" applyFont="1">
      <alignment vertical="top"/>
    </xf>
    <xf numFmtId="167" fontId="1" fillId="0" borderId="11" xfId="9" applyFill="1" applyBorder="1" applyAlignment="1">
      <alignment horizontal="center" vertical="top"/>
    </xf>
    <xf numFmtId="165" fontId="5" fillId="0" borderId="0" xfId="0" applyFont="1" applyAlignment="1">
      <alignment horizontal="left" vertical="top" indent="4"/>
    </xf>
    <xf numFmtId="176" fontId="1" fillId="0" borderId="0" xfId="26" applyNumberFormat="1" applyFont="1" applyFill="1">
      <alignment vertical="top"/>
    </xf>
    <xf numFmtId="166" fontId="4" fillId="9" borderId="0" xfId="18" applyNumberFormat="1" applyFont="1" applyFill="1" applyAlignment="1">
      <alignment horizontal="right"/>
    </xf>
    <xf numFmtId="168" fontId="0" fillId="0" borderId="0" xfId="12" applyFont="1">
      <alignment vertical="top"/>
    </xf>
    <xf numFmtId="165" fontId="8" fillId="0" borderId="0" xfId="18" applyFont="1" applyFill="1">
      <alignment vertical="top"/>
    </xf>
    <xf numFmtId="165" fontId="14" fillId="0" borderId="0" xfId="18" applyFont="1" applyFill="1" applyBorder="1">
      <alignment vertical="top"/>
    </xf>
    <xf numFmtId="165" fontId="1" fillId="0" borderId="0" xfId="20" applyFont="1" applyAlignment="1">
      <alignment horizontal="left" vertical="top" wrapText="1"/>
    </xf>
    <xf numFmtId="168" fontId="1" fillId="0" borderId="0" xfId="12">
      <alignment vertical="top"/>
    </xf>
    <xf numFmtId="166" fontId="1" fillId="0" borderId="0" xfId="18" applyNumberFormat="1" applyFont="1" applyFill="1" applyBorder="1" applyAlignment="1">
      <alignment horizontal="right" vertical="top"/>
    </xf>
    <xf numFmtId="165" fontId="6" fillId="6" borderId="0" xfId="18" applyFont="1" applyFill="1">
      <alignment vertical="top"/>
    </xf>
    <xf numFmtId="169" fontId="4" fillId="9" borderId="0" xfId="26" applyFont="1" applyFill="1">
      <alignment vertical="top"/>
    </xf>
    <xf numFmtId="165" fontId="47" fillId="0" borderId="0" xfId="20" applyFont="1">
      <alignment vertical="top"/>
    </xf>
    <xf numFmtId="166" fontId="16" fillId="9" borderId="0" xfId="18" applyNumberFormat="1" applyFont="1" applyFill="1" applyBorder="1">
      <alignment vertical="top"/>
    </xf>
    <xf numFmtId="171" fontId="1" fillId="0" borderId="0" xfId="35" applyFont="1" applyAlignment="1">
      <alignment horizontal="center" vertical="top"/>
    </xf>
    <xf numFmtId="165" fontId="21" fillId="0" borderId="0" xfId="18" applyFont="1" applyBorder="1" applyAlignment="1">
      <alignment horizontal="right" vertical="top"/>
    </xf>
    <xf numFmtId="165" fontId="48" fillId="0" borderId="0" xfId="0" applyFont="1">
      <alignment vertical="top"/>
    </xf>
    <xf numFmtId="167" fontId="1" fillId="0" borderId="0" xfId="9" applyAlignment="1">
      <alignment horizontal="left" vertical="top"/>
    </xf>
    <xf numFmtId="165" fontId="49" fillId="0" borderId="0" xfId="20" applyFont="1">
      <alignment vertical="top"/>
    </xf>
    <xf numFmtId="165" fontId="8" fillId="7" borderId="9" xfId="0" applyFont="1" applyFill="1" applyBorder="1" applyAlignment="1">
      <alignment horizontal="center" vertical="top"/>
    </xf>
    <xf numFmtId="165" fontId="1" fillId="0" borderId="0" xfId="22" applyFont="1" applyFill="1">
      <alignment vertical="top"/>
    </xf>
    <xf numFmtId="165" fontId="20" fillId="6" borderId="0" xfId="18" applyFont="1" applyFill="1">
      <alignment vertical="top"/>
    </xf>
    <xf numFmtId="165" fontId="50" fillId="5" borderId="0" xfId="18" applyFont="1" applyFill="1">
      <alignment vertical="top"/>
    </xf>
    <xf numFmtId="172" fontId="1" fillId="0" borderId="0" xfId="9" applyNumberFormat="1" applyFont="1" applyFill="1" applyBorder="1">
      <alignment vertical="top"/>
    </xf>
    <xf numFmtId="165" fontId="51" fillId="0" borderId="0" xfId="22" applyFont="1" applyBorder="1">
      <alignment vertical="top"/>
    </xf>
    <xf numFmtId="165" fontId="8" fillId="9" borderId="0" xfId="18" applyFont="1" applyFill="1">
      <alignment vertical="top"/>
    </xf>
    <xf numFmtId="165" fontId="53" fillId="0" borderId="0" xfId="0" applyFont="1" applyAlignment="1"/>
    <xf numFmtId="165" fontId="54" fillId="0" borderId="0" xfId="0" applyFont="1">
      <alignment vertical="top"/>
    </xf>
    <xf numFmtId="165" fontId="0" fillId="0" borderId="0" xfId="0" applyAlignment="1"/>
    <xf numFmtId="165" fontId="53" fillId="13" borderId="0" xfId="0" applyFont="1" applyFill="1" applyAlignment="1"/>
    <xf numFmtId="165" fontId="54" fillId="0" borderId="0" xfId="0" applyFont="1" applyAlignment="1"/>
    <xf numFmtId="165" fontId="53" fillId="6" borderId="0" xfId="0" applyFont="1" applyFill="1" applyAlignment="1"/>
    <xf numFmtId="169" fontId="55" fillId="0" borderId="0" xfId="0" applyNumberFormat="1" applyFont="1">
      <alignment vertical="top"/>
    </xf>
    <xf numFmtId="169" fontId="55" fillId="0" borderId="12" xfId="0" applyNumberFormat="1" applyFont="1" applyBorder="1">
      <alignment vertical="top"/>
    </xf>
    <xf numFmtId="165" fontId="56" fillId="0" borderId="0" xfId="0" applyFont="1">
      <alignment vertical="top"/>
    </xf>
    <xf numFmtId="165" fontId="55" fillId="0" borderId="12" xfId="0" applyFont="1" applyBorder="1">
      <alignment vertical="top"/>
    </xf>
    <xf numFmtId="169" fontId="56" fillId="0" borderId="0" xfId="0" applyNumberFormat="1" applyFont="1">
      <alignment vertical="top"/>
    </xf>
    <xf numFmtId="165" fontId="57" fillId="0" borderId="0" xfId="0" applyFont="1">
      <alignment vertical="top"/>
    </xf>
    <xf numFmtId="165" fontId="53" fillId="14" borderId="0" xfId="0" applyFont="1" applyFill="1" applyAlignment="1"/>
    <xf numFmtId="165" fontId="53" fillId="15" borderId="0" xfId="0" applyFont="1" applyFill="1" applyAlignment="1"/>
    <xf numFmtId="165" fontId="53" fillId="16" borderId="0" xfId="0" applyFont="1" applyFill="1" applyAlignment="1"/>
    <xf numFmtId="167" fontId="56" fillId="0" borderId="0" xfId="0" applyNumberFormat="1" applyFont="1">
      <alignment vertical="top"/>
    </xf>
    <xf numFmtId="167" fontId="55" fillId="0" borderId="12" xfId="0" applyNumberFormat="1" applyFont="1" applyBorder="1">
      <alignment vertical="top"/>
    </xf>
    <xf numFmtId="10" fontId="53" fillId="14" borderId="0" xfId="0" applyNumberFormat="1" applyFont="1" applyFill="1" applyAlignment="1"/>
    <xf numFmtId="10" fontId="55" fillId="0" borderId="12" xfId="0" applyNumberFormat="1" applyFont="1" applyBorder="1">
      <alignment vertical="top"/>
    </xf>
    <xf numFmtId="10" fontId="53" fillId="0" borderId="0" xfId="0" applyNumberFormat="1" applyFont="1" applyAlignment="1"/>
    <xf numFmtId="1" fontId="53" fillId="0" borderId="0" xfId="0" applyNumberFormat="1" applyFont="1" applyAlignment="1"/>
    <xf numFmtId="166" fontId="56" fillId="0" borderId="0" xfId="0" applyNumberFormat="1" applyFont="1">
      <alignment vertical="top"/>
    </xf>
    <xf numFmtId="166" fontId="55" fillId="0" borderId="0" xfId="0" applyNumberFormat="1" applyFont="1">
      <alignment vertical="top"/>
    </xf>
    <xf numFmtId="165" fontId="58" fillId="0" borderId="0" xfId="0" applyFont="1" applyAlignment="1"/>
    <xf numFmtId="165" fontId="59" fillId="0" borderId="0" xfId="0" applyFont="1" applyAlignment="1"/>
    <xf numFmtId="165" fontId="60" fillId="0" borderId="0" xfId="0" applyFont="1" applyAlignment="1">
      <alignment horizontal="left"/>
    </xf>
    <xf numFmtId="180" fontId="60" fillId="0" borderId="0" xfId="0" applyNumberFormat="1" applyFont="1" applyAlignment="1">
      <alignment horizontal="right"/>
    </xf>
    <xf numFmtId="165" fontId="59" fillId="0" borderId="0" xfId="0" applyFont="1" applyAlignment="1">
      <alignment horizontal="right"/>
    </xf>
    <xf numFmtId="1" fontId="59" fillId="0" borderId="0" xfId="0" applyNumberFormat="1" applyFont="1" applyAlignment="1"/>
    <xf numFmtId="3" fontId="59" fillId="0" borderId="0" xfId="0" applyNumberFormat="1" applyFont="1" applyAlignment="1">
      <alignment horizontal="right"/>
    </xf>
    <xf numFmtId="1" fontId="59" fillId="0" borderId="13" xfId="0" applyNumberFormat="1" applyFont="1" applyBorder="1" applyAlignment="1"/>
    <xf numFmtId="165" fontId="53" fillId="0" borderId="13" xfId="0" applyFont="1" applyBorder="1" applyAlignment="1"/>
    <xf numFmtId="3" fontId="59" fillId="0" borderId="13" xfId="0" applyNumberFormat="1" applyFont="1" applyBorder="1" applyAlignment="1">
      <alignment horizontal="right"/>
    </xf>
    <xf numFmtId="165" fontId="61" fillId="0" borderId="0" xfId="0" applyFont="1" applyAlignment="1"/>
    <xf numFmtId="165" fontId="61" fillId="0" borderId="0" xfId="0" applyFont="1">
      <alignment vertical="top"/>
    </xf>
    <xf numFmtId="165" fontId="59" fillId="0" borderId="13" xfId="0" applyFont="1" applyBorder="1" applyAlignment="1"/>
    <xf numFmtId="165" fontId="53" fillId="0" borderId="0" xfId="0" applyFont="1" applyAlignment="1">
      <alignment horizontal="right"/>
    </xf>
    <xf numFmtId="165" fontId="62" fillId="0" borderId="0" xfId="0" applyFont="1" applyAlignment="1"/>
    <xf numFmtId="165" fontId="53" fillId="0" borderId="0" xfId="0" applyFont="1">
      <alignment vertical="top"/>
    </xf>
    <xf numFmtId="165" fontId="60" fillId="0" borderId="0" xfId="0" applyFont="1" applyAlignment="1"/>
    <xf numFmtId="180" fontId="60" fillId="0" borderId="0" xfId="0" applyNumberFormat="1" applyFont="1" applyAlignment="1"/>
    <xf numFmtId="165" fontId="60" fillId="0" borderId="0" xfId="0" applyFont="1">
      <alignment vertical="top"/>
    </xf>
    <xf numFmtId="3" fontId="59" fillId="0" borderId="0" xfId="0" applyNumberFormat="1" applyFont="1" applyAlignment="1"/>
    <xf numFmtId="3" fontId="59" fillId="0" borderId="13" xfId="0" applyNumberFormat="1" applyFont="1" applyBorder="1" applyAlignment="1"/>
    <xf numFmtId="165" fontId="53" fillId="0" borderId="13" xfId="0" applyFont="1" applyBorder="1">
      <alignment vertical="top"/>
    </xf>
    <xf numFmtId="3" fontId="62" fillId="0" borderId="0" xfId="0" applyNumberFormat="1" applyFont="1" applyAlignment="1"/>
    <xf numFmtId="165" fontId="49" fillId="17" borderId="0" xfId="20" applyFont="1" applyFill="1">
      <alignment vertical="top"/>
    </xf>
    <xf numFmtId="165" fontId="38" fillId="17" borderId="0" xfId="20" applyFont="1" applyFill="1">
      <alignment vertical="top"/>
    </xf>
    <xf numFmtId="165" fontId="38" fillId="17" borderId="0" xfId="20" applyFont="1" applyFill="1" applyAlignment="1">
      <alignment horizontal="left" vertical="top"/>
    </xf>
    <xf numFmtId="165" fontId="30" fillId="17" borderId="0" xfId="20" applyFont="1" applyFill="1">
      <alignment vertical="top"/>
    </xf>
    <xf numFmtId="165" fontId="53" fillId="18" borderId="0" xfId="0" applyFont="1" applyFill="1" applyAlignment="1"/>
  </cellXfs>
  <cellStyles count="36">
    <cellStyle name="Calcs" xfId="1" xr:uid="{00000000-0005-0000-0000-000000000000}"/>
    <cellStyle name="Calcs%" xfId="2" xr:uid="{00000000-0005-0000-0000-000001000000}"/>
    <cellStyle name="CalcsCurrency" xfId="3" xr:uid="{00000000-0005-0000-0000-000002000000}"/>
    <cellStyle name="CalcsDate" xfId="4" xr:uid="{00000000-0005-0000-0000-000003000000}"/>
    <cellStyle name="Comma 2" xfId="5" xr:uid="{00000000-0005-0000-0000-000004000000}"/>
    <cellStyle name="DateLong" xfId="6" xr:uid="{00000000-0005-0000-0000-000005000000}"/>
    <cellStyle name="DateLong 2" xfId="7" xr:uid="{00000000-0005-0000-0000-000006000000}"/>
    <cellStyle name="DateShort" xfId="8" xr:uid="{00000000-0005-0000-0000-000007000000}"/>
    <cellStyle name="DateShort 2" xfId="9" xr:uid="{00000000-0005-0000-0000-000008000000}"/>
    <cellStyle name="Factor" xfId="10" xr:uid="{00000000-0005-0000-0000-000009000000}"/>
    <cellStyle name="Factor 2" xfId="11" xr:uid="{00000000-0005-0000-0000-00000A000000}"/>
    <cellStyle name="Factor 3" xfId="12" xr:uid="{00000000-0005-0000-0000-00000B000000}"/>
    <cellStyle name="Hyperlink" xfId="13" builtinId="8"/>
    <cellStyle name="Input%" xfId="14" xr:uid="{00000000-0005-0000-0000-00000D000000}"/>
    <cellStyle name="InputCurrency" xfId="15" xr:uid="{00000000-0005-0000-0000-00000E000000}"/>
    <cellStyle name="InputDate" xfId="16" xr:uid="{00000000-0005-0000-0000-00000F000000}"/>
    <cellStyle name="InputStyle" xfId="17" xr:uid="{00000000-0005-0000-0000-000010000000}"/>
    <cellStyle name="Normal" xfId="0" builtinId="0" customBuiltin="1"/>
    <cellStyle name="Normal 2" xfId="18" xr:uid="{00000000-0005-0000-0000-000012000000}"/>
    <cellStyle name="Normal 3" xfId="19" xr:uid="{00000000-0005-0000-0000-000013000000}"/>
    <cellStyle name="Normal 4" xfId="20" xr:uid="{00000000-0005-0000-0000-000014000000}"/>
    <cellStyle name="Normal 5" xfId="21" xr:uid="{00000000-0005-0000-0000-000015000000}"/>
    <cellStyle name="Normal 6" xfId="22" xr:uid="{00000000-0005-0000-0000-000016000000}"/>
    <cellStyle name="Percent" xfId="23" builtinId="5" customBuiltin="1"/>
    <cellStyle name="Percent 2" xfId="24" xr:uid="{00000000-0005-0000-0000-000018000000}"/>
    <cellStyle name="Percent 3" xfId="25" xr:uid="{00000000-0005-0000-0000-000019000000}"/>
    <cellStyle name="Percent 4" xfId="26" xr:uid="{00000000-0005-0000-0000-00001A000000}"/>
    <cellStyle name="Report Indent" xfId="27" xr:uid="{00000000-0005-0000-0000-00001B000000}"/>
    <cellStyle name="ReportSubTotal" xfId="28" xr:uid="{00000000-0005-0000-0000-00001C000000}"/>
    <cellStyle name="ReportTotal" xfId="29" xr:uid="{00000000-0005-0000-0000-00001D000000}"/>
    <cellStyle name="Result" xfId="30" xr:uid="{00000000-0005-0000-0000-00001E000000}"/>
    <cellStyle name="Result%" xfId="31" xr:uid="{00000000-0005-0000-0000-00001F000000}"/>
    <cellStyle name="ResultCurrency" xfId="32" xr:uid="{00000000-0005-0000-0000-000020000000}"/>
    <cellStyle name="ResultDate" xfId="33" xr:uid="{00000000-0005-0000-0000-000021000000}"/>
    <cellStyle name="Year" xfId="34" xr:uid="{00000000-0005-0000-0000-000022000000}"/>
    <cellStyle name="Year 2" xfId="35" xr:uid="{00000000-0005-0000-0000-000023000000}"/>
  </cellStyles>
  <dxfs count="283">
    <dxf>
      <font>
        <color rgb="FFFFCC00"/>
      </font>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theme="0"/>
        </patternFill>
      </fill>
    </dxf>
    <dxf>
      <font>
        <color rgb="FFFFCC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638175</xdr:colOff>
      <xdr:row>15</xdr:row>
      <xdr:rowOff>28575</xdr:rowOff>
    </xdr:from>
    <xdr:to>
      <xdr:col>8</xdr:col>
      <xdr:colOff>531050</xdr:colOff>
      <xdr:row>34</xdr:row>
      <xdr:rowOff>156129</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638175" y="2734945"/>
          <a:ext cx="9350084" cy="3264454"/>
        </a:xfrm>
        <a:prstGeom prst="rect">
          <a:avLst/>
        </a:prstGeom>
        <a:noFill/>
        <a:ln>
          <a:noFill/>
        </a:ln>
      </xdr:spPr>
      <xdr:txBody>
        <a:bodyPr lIns="27432" tIns="22860" rIns="0" bIns="0" rtlCol="0"/>
        <a:lstStyle/>
        <a:p>
          <a:pPr algn="l"/>
          <a:r>
            <a:rPr lang="en-US" sz="1000" b="1">
              <a:solidFill>
                <a:srgbClr val="000000"/>
              </a:solidFill>
              <a:latin typeface="Circular Pro Book"/>
            </a:rPr>
            <a:t>Disclaimer</a:t>
          </a:r>
        </a:p>
        <a:p>
          <a:pPr algn="l"/>
          <a:endParaRPr lang="en-US" sz="900">
            <a:solidFill>
              <a:srgbClr val="000000"/>
            </a:solidFill>
            <a:latin typeface="Circular Pro Book"/>
          </a:endParaRPr>
        </a:p>
        <a:p>
          <a:pPr algn="l"/>
          <a:r>
            <a:rPr lang="en-US" sz="900">
              <a:solidFill>
                <a:srgbClr val="000000"/>
              </a:solidFill>
              <a:latin typeface="Circular Pro Book"/>
            </a:rPr>
            <a:t>This Financial Model (‘the Model’) has been constructed for a specific purpose and is not intended for distribution to third parties. Third parties who obtain copies of the Model should be aware of the following:</a:t>
          </a:r>
        </a:p>
        <a:p>
          <a:pPr algn="l"/>
          <a:endParaRPr lang="en-US" sz="900">
            <a:solidFill>
              <a:srgbClr val="000000"/>
            </a:solidFill>
            <a:latin typeface="Circular Pro Book"/>
          </a:endParaRPr>
        </a:p>
        <a:p>
          <a:pPr algn="l"/>
          <a:r>
            <a:rPr lang="en-US" sz="900">
              <a:solidFill>
                <a:srgbClr val="000000"/>
              </a:solidFill>
              <a:latin typeface="Circular Pro Book"/>
            </a:rPr>
            <a:t>-  the Model may not be suitable for purposes, other than the specific purpose for which it was designed, and the interests of third parties may not have been anticipated;</a:t>
          </a:r>
        </a:p>
        <a:p>
          <a:pPr algn="l"/>
          <a:endParaRPr lang="en-US" sz="900">
            <a:solidFill>
              <a:srgbClr val="000000"/>
            </a:solidFill>
            <a:latin typeface="Circular Pro Book"/>
          </a:endParaRPr>
        </a:p>
        <a:p>
          <a:pPr algn="l"/>
          <a:r>
            <a:rPr lang="en-US" sz="900">
              <a:solidFill>
                <a:srgbClr val="000000"/>
              </a:solidFill>
              <a:latin typeface="Circular Pro Book"/>
            </a:rPr>
            <a:t>-  the Model was not intended for use by third parties and may not be designed so that it can be readily operated in a correct manner by such parties;</a:t>
          </a:r>
        </a:p>
        <a:p>
          <a:pPr algn="l"/>
          <a:endParaRPr lang="en-US" sz="900">
            <a:solidFill>
              <a:srgbClr val="000000"/>
            </a:solidFill>
            <a:latin typeface="Circular Pro Book"/>
          </a:endParaRPr>
        </a:p>
        <a:p>
          <a:pPr algn="l"/>
          <a:r>
            <a:rPr lang="en-US" sz="900">
              <a:solidFill>
                <a:srgbClr val="000000"/>
              </a:solidFill>
              <a:latin typeface="Circular Pro Book"/>
            </a:rPr>
            <a:t>-  the Model may be development version and may not be complete or, in the event that development of the Model has concluded, material events may have occurred since completion, which are not reflected in the Model;</a:t>
          </a:r>
        </a:p>
        <a:p>
          <a:pPr algn="l"/>
          <a:endParaRPr lang="en-US" sz="900">
            <a:solidFill>
              <a:srgbClr val="000000"/>
            </a:solidFill>
            <a:latin typeface="Circular Pro Book"/>
          </a:endParaRPr>
        </a:p>
        <a:p>
          <a:pPr algn="l"/>
          <a:r>
            <a:rPr lang="en-US" sz="900">
              <a:solidFill>
                <a:srgbClr val="000000"/>
              </a:solidFill>
              <a:latin typeface="Circular Pro Book"/>
            </a:rPr>
            <a:t>-  the Model may not have been subject to independent testing and where it has been tested, this may not provide an appropriate degree of assurance for all possible uses of the Model.</a:t>
          </a:r>
        </a:p>
        <a:p>
          <a:pPr algn="l"/>
          <a:endParaRPr lang="en-US" sz="900">
            <a:solidFill>
              <a:srgbClr val="000000"/>
            </a:solidFill>
            <a:latin typeface="Circular Pro Book"/>
          </a:endParaRPr>
        </a:p>
        <a:p>
          <a:pPr algn="l"/>
          <a:r>
            <a:rPr lang="en-US" sz="900">
              <a:solidFill>
                <a:srgbClr val="000000"/>
              </a:solidFill>
              <a:latin typeface="Circular Pro Book"/>
            </a:rPr>
            <a:t>Accordingly, third party recipients of this Model use it entirely at their own risk and, in the absence of express written consent, no responsibility is taken or accepted for any losses which may result therefrom, including direct or indirect consequences of computer viruses.</a:t>
          </a:r>
        </a:p>
        <a:p>
          <a:pPr algn="l"/>
          <a:endParaRPr lang="en-US" sz="900" i="1">
            <a:solidFill>
              <a:srgbClr val="000000"/>
            </a:solidFill>
            <a:latin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customProperty" Target="../customProperty6.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customProperty" Target="../customProperty12.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customProperty" Target="../customProperty18.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3.bin"/><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customProperty" Target="../customProperty24.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29.bin"/><Relationship Id="rId2" Type="http://schemas.openxmlformats.org/officeDocument/2006/relationships/customProperty" Target="../customProperty28.bin"/><Relationship Id="rId1" Type="http://schemas.openxmlformats.org/officeDocument/2006/relationships/customProperty" Target="../customProperty27.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customProperty" Target="../customProperty30.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35.bin"/><Relationship Id="rId2" Type="http://schemas.openxmlformats.org/officeDocument/2006/relationships/customProperty" Target="../customProperty34.bin"/><Relationship Id="rId1" Type="http://schemas.openxmlformats.org/officeDocument/2006/relationships/customProperty" Target="../customProperty33.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customProperty" Target="../customProperty36.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1.bin"/><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customProperty" Target="../customProperty42.bin"/></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7.bin"/><Relationship Id="rId2" Type="http://schemas.openxmlformats.org/officeDocument/2006/relationships/customProperty" Target="../customProperty46.bin"/><Relationship Id="rId1" Type="http://schemas.openxmlformats.org/officeDocument/2006/relationships/customProperty" Target="../customProperty45.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customProperty" Target="../customProperty48.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3.bin"/><Relationship Id="rId2" Type="http://schemas.openxmlformats.org/officeDocument/2006/relationships/customProperty" Target="../customProperty52.bin"/><Relationship Id="rId1" Type="http://schemas.openxmlformats.org/officeDocument/2006/relationships/customProperty" Target="../customProperty51.bin"/></Relationships>
</file>

<file path=xl/worksheets/_rels/sheet27.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customProperty" Target="../customProperty54.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58.bin"/><Relationship Id="rId1" Type="http://schemas.openxmlformats.org/officeDocument/2006/relationships/customProperty" Target="../customProperty57.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60.bin"/><Relationship Id="rId1" Type="http://schemas.openxmlformats.org/officeDocument/2006/relationships/customProperty" Target="../customProperty5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62.bin"/><Relationship Id="rId1" Type="http://schemas.openxmlformats.org/officeDocument/2006/relationships/customProperty" Target="../customProperty61.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64.bin"/><Relationship Id="rId1" Type="http://schemas.openxmlformats.org/officeDocument/2006/relationships/customProperty" Target="../customProperty63.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66.bin"/><Relationship Id="rId1" Type="http://schemas.openxmlformats.org/officeDocument/2006/relationships/customProperty" Target="../customProperty65.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68.bin"/><Relationship Id="rId1" Type="http://schemas.openxmlformats.org/officeDocument/2006/relationships/customProperty" Target="../customProperty67.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70.bin"/><Relationship Id="rId1" Type="http://schemas.openxmlformats.org/officeDocument/2006/relationships/customProperty" Target="../customProperty69.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72.bin"/><Relationship Id="rId1" Type="http://schemas.openxmlformats.org/officeDocument/2006/relationships/customProperty" Target="../customProperty71.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74.bin"/><Relationship Id="rId1" Type="http://schemas.openxmlformats.org/officeDocument/2006/relationships/customProperty" Target="../customProperty73.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76.bin"/><Relationship Id="rId1" Type="http://schemas.openxmlformats.org/officeDocument/2006/relationships/customProperty" Target="../customProperty75.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78.bin"/><Relationship Id="rId1" Type="http://schemas.openxmlformats.org/officeDocument/2006/relationships/customProperty" Target="../customProperty77.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80.bin"/><Relationship Id="rId1" Type="http://schemas.openxmlformats.org/officeDocument/2006/relationships/customProperty" Target="../customProperty7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82.bin"/><Relationship Id="rId1" Type="http://schemas.openxmlformats.org/officeDocument/2006/relationships/customProperty" Target="../customProperty81.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84.bin"/><Relationship Id="rId1" Type="http://schemas.openxmlformats.org/officeDocument/2006/relationships/customProperty" Target="../customProperty83.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86.bin"/><Relationship Id="rId1" Type="http://schemas.openxmlformats.org/officeDocument/2006/relationships/customProperty" Target="../customProperty85.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88.bin"/><Relationship Id="rId1" Type="http://schemas.openxmlformats.org/officeDocument/2006/relationships/customProperty" Target="../customProperty87.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90.bin"/><Relationship Id="rId1" Type="http://schemas.openxmlformats.org/officeDocument/2006/relationships/customProperty" Target="../customProperty89.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92.bin"/><Relationship Id="rId1" Type="http://schemas.openxmlformats.org/officeDocument/2006/relationships/customProperty" Target="../customProperty91.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94.bin"/><Relationship Id="rId1" Type="http://schemas.openxmlformats.org/officeDocument/2006/relationships/customProperty" Target="../customProperty93.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96.bin"/><Relationship Id="rId1" Type="http://schemas.openxmlformats.org/officeDocument/2006/relationships/customProperty" Target="../customProperty95.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97.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98.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99.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18C76-454C-409D-A59C-8A4D9BEC855F}">
  <sheetPr codeName="Sheet47"/>
  <dimension ref="A1:L31"/>
  <sheetViews>
    <sheetView tabSelected="1" workbookViewId="0">
      <selection activeCell="A4" sqref="A4"/>
    </sheetView>
  </sheetViews>
  <sheetFormatPr defaultColWidth="20.33203125" defaultRowHeight="14.5"/>
  <cols>
    <col min="1" max="3" width="48.5546875" style="292" customWidth="1"/>
    <col min="4" max="4" width="73" style="292" customWidth="1"/>
    <col min="5" max="5" width="48.5546875" style="292" customWidth="1"/>
    <col min="6" max="6" width="93.77734375" style="292" customWidth="1"/>
    <col min="7" max="7" width="71.77734375" style="292" customWidth="1"/>
    <col min="8" max="8" width="70.5546875" style="292" customWidth="1"/>
    <col min="9" max="21" width="48.5546875" style="292" customWidth="1"/>
    <col min="22" max="16384" width="20.33203125" style="292"/>
  </cols>
  <sheetData>
    <row r="1" spans="1:12" ht="18">
      <c r="A1" s="342" t="s">
        <v>353</v>
      </c>
      <c r="B1" s="293"/>
      <c r="I1" s="294" t="s">
        <v>354</v>
      </c>
      <c r="J1" s="294" t="s">
        <v>355</v>
      </c>
      <c r="K1" s="294" t="s">
        <v>356</v>
      </c>
      <c r="L1" s="294" t="s">
        <v>357</v>
      </c>
    </row>
    <row r="2" spans="1:12" ht="18">
      <c r="B2" s="293"/>
      <c r="E2" s="294" t="s">
        <v>358</v>
      </c>
      <c r="I2" s="294" t="s">
        <v>359</v>
      </c>
      <c r="J2" s="294" t="s">
        <v>360</v>
      </c>
      <c r="K2" s="294" t="s">
        <v>361</v>
      </c>
      <c r="L2" s="294" t="s">
        <v>362</v>
      </c>
    </row>
    <row r="3" spans="1:12">
      <c r="B3" s="292" t="s">
        <v>363</v>
      </c>
      <c r="E3" s="294">
        <v>55</v>
      </c>
      <c r="G3" s="292" t="s">
        <v>364</v>
      </c>
      <c r="I3" s="294" t="s">
        <v>365</v>
      </c>
      <c r="J3" s="294" t="s">
        <v>366</v>
      </c>
      <c r="K3" s="294" t="s">
        <v>367</v>
      </c>
      <c r="L3" s="294" t="s">
        <v>368</v>
      </c>
    </row>
    <row r="4" spans="1:12">
      <c r="B4" s="292" t="s">
        <v>369</v>
      </c>
      <c r="C4" s="292" t="s">
        <v>370</v>
      </c>
      <c r="D4" s="292" t="s">
        <v>371</v>
      </c>
      <c r="E4" s="292" t="s">
        <v>372</v>
      </c>
      <c r="F4" s="292" t="s">
        <v>373</v>
      </c>
      <c r="G4" s="292" t="s">
        <v>374</v>
      </c>
      <c r="H4" s="292" t="s">
        <v>375</v>
      </c>
      <c r="I4" s="294">
        <v>1</v>
      </c>
      <c r="J4" s="294">
        <v>2</v>
      </c>
      <c r="K4" s="294">
        <v>3</v>
      </c>
      <c r="L4" s="294">
        <v>4</v>
      </c>
    </row>
    <row r="5" spans="1:12">
      <c r="A5" s="292" t="s">
        <v>376</v>
      </c>
      <c r="B5" s="292">
        <v>30</v>
      </c>
      <c r="C5" s="292">
        <v>110</v>
      </c>
      <c r="D5" s="292">
        <v>1340</v>
      </c>
      <c r="E5" s="292">
        <v>160</v>
      </c>
      <c r="F5" s="292" t="s">
        <v>377</v>
      </c>
      <c r="H5" s="294" t="s">
        <v>378</v>
      </c>
      <c r="I5" s="294" t="str">
        <f>IF($I$6=I4,"EEEEEE","FFFFFF")</f>
        <v>EEEEEE</v>
      </c>
      <c r="J5" s="294" t="str">
        <f>IF($I$6=J4,"EEEEEE","FFFFFF")</f>
        <v>FFFFFF</v>
      </c>
      <c r="K5" s="294" t="str">
        <f>IF($I$6=K4,"EEEEEE","FFFFFF")</f>
        <v>FFFFFF</v>
      </c>
      <c r="L5" s="294" t="str">
        <f>IF($I$6=L4,"EEEEEE","FFFFFF")</f>
        <v>FFFFFF</v>
      </c>
    </row>
    <row r="6" spans="1:12">
      <c r="A6" s="292" t="s">
        <v>379</v>
      </c>
      <c r="B6" s="292">
        <f>B5</f>
        <v>30</v>
      </c>
      <c r="C6" s="292">
        <f>C5</f>
        <v>110</v>
      </c>
      <c r="D6" s="292">
        <f>D5</f>
        <v>1340</v>
      </c>
      <c r="E6" s="292">
        <f>IF(G6="Show",E5,E3)</f>
        <v>55</v>
      </c>
      <c r="F6" s="292" t="s">
        <v>377</v>
      </c>
      <c r="G6" s="292" t="s">
        <v>375</v>
      </c>
      <c r="H6" s="294" t="s">
        <v>380</v>
      </c>
      <c r="I6" s="294">
        <v>1</v>
      </c>
      <c r="J6" s="294"/>
      <c r="K6" s="294"/>
      <c r="L6" s="294"/>
    </row>
    <row r="7" spans="1:12" s="295" customFormat="1">
      <c r="E7" s="294"/>
    </row>
    <row r="8" spans="1:12">
      <c r="B8" s="292" t="s">
        <v>381</v>
      </c>
      <c r="G8" s="292" t="s">
        <v>382</v>
      </c>
    </row>
    <row r="9" spans="1:12">
      <c r="B9" s="292" t="s">
        <v>369</v>
      </c>
      <c r="C9" s="292" t="s">
        <v>370</v>
      </c>
      <c r="D9" s="292" t="s">
        <v>371</v>
      </c>
      <c r="E9" s="292" t="s">
        <v>383</v>
      </c>
      <c r="F9" s="292" t="s">
        <v>373</v>
      </c>
      <c r="G9" s="292" t="s">
        <v>374</v>
      </c>
      <c r="H9" s="292" t="s">
        <v>375</v>
      </c>
    </row>
    <row r="10" spans="1:12">
      <c r="A10" s="292" t="s">
        <v>384</v>
      </c>
      <c r="C10" s="292">
        <v>20</v>
      </c>
      <c r="E10" s="294">
        <v>30</v>
      </c>
    </row>
    <row r="11" spans="1:12">
      <c r="A11" s="292" t="s">
        <v>376</v>
      </c>
      <c r="B11" s="292">
        <v>30</v>
      </c>
      <c r="C11" s="292">
        <f>C6+E6+C10</f>
        <v>185</v>
      </c>
      <c r="D11" s="292">
        <v>1340</v>
      </c>
      <c r="E11" s="292">
        <v>1080</v>
      </c>
      <c r="F11" s="292" t="s">
        <v>385</v>
      </c>
      <c r="G11" s="292" t="s">
        <v>374</v>
      </c>
    </row>
    <row r="12" spans="1:12">
      <c r="A12" s="292" t="s">
        <v>379</v>
      </c>
      <c r="B12" s="292">
        <f>B11</f>
        <v>30</v>
      </c>
      <c r="C12" s="292">
        <f>C11</f>
        <v>185</v>
      </c>
      <c r="D12" s="292">
        <f>D11</f>
        <v>1340</v>
      </c>
      <c r="E12" s="292">
        <f>IF(G11="Show",E11,E10)</f>
        <v>1080</v>
      </c>
      <c r="F12" s="292" t="s">
        <v>377</v>
      </c>
    </row>
    <row r="13" spans="1:12" s="295" customFormat="1"/>
    <row r="14" spans="1:12">
      <c r="B14" s="292" t="s">
        <v>386</v>
      </c>
      <c r="G14" s="292" t="s">
        <v>387</v>
      </c>
      <c r="I14" s="292" t="s">
        <v>388</v>
      </c>
    </row>
    <row r="15" spans="1:12">
      <c r="B15" s="292" t="s">
        <v>369</v>
      </c>
      <c r="C15" s="292" t="s">
        <v>370</v>
      </c>
      <c r="D15" s="292" t="s">
        <v>371</v>
      </c>
      <c r="E15" s="292" t="s">
        <v>383</v>
      </c>
      <c r="F15" s="292" t="s">
        <v>373</v>
      </c>
      <c r="G15" s="292" t="s">
        <v>374</v>
      </c>
      <c r="H15" s="292" t="s">
        <v>375</v>
      </c>
      <c r="I15" s="292" t="s">
        <v>389</v>
      </c>
      <c r="J15" s="292" t="s">
        <v>390</v>
      </c>
    </row>
    <row r="16" spans="1:12">
      <c r="A16" s="292" t="s">
        <v>384</v>
      </c>
      <c r="C16" s="292">
        <v>20</v>
      </c>
    </row>
    <row r="17" spans="1:9">
      <c r="A17" s="292" t="s">
        <v>376</v>
      </c>
      <c r="B17" s="292">
        <v>30</v>
      </c>
      <c r="C17" s="292">
        <f>C12+E12+C16</f>
        <v>1285</v>
      </c>
      <c r="D17" s="292">
        <v>1340</v>
      </c>
      <c r="E17" s="292">
        <v>1200</v>
      </c>
      <c r="F17" s="292" t="s">
        <v>385</v>
      </c>
      <c r="G17" s="292" t="s">
        <v>375</v>
      </c>
      <c r="I17" s="292" t="s">
        <v>389</v>
      </c>
    </row>
    <row r="18" spans="1:9">
      <c r="A18" s="292" t="s">
        <v>379</v>
      </c>
      <c r="B18" s="292">
        <f>B17</f>
        <v>30</v>
      </c>
      <c r="C18" s="292">
        <f>C17</f>
        <v>1285</v>
      </c>
      <c r="D18" s="292">
        <f>D17</f>
        <v>1340</v>
      </c>
      <c r="E18" s="292">
        <f>IF(G17="Hide",30,E17)</f>
        <v>30</v>
      </c>
      <c r="F18" s="292" t="s">
        <v>377</v>
      </c>
    </row>
    <row r="19" spans="1:9" s="295" customFormat="1"/>
    <row r="20" spans="1:9">
      <c r="B20" s="292" t="s">
        <v>391</v>
      </c>
    </row>
    <row r="21" spans="1:9">
      <c r="B21" s="292" t="s">
        <v>369</v>
      </c>
      <c r="C21" s="292" t="s">
        <v>370</v>
      </c>
      <c r="D21" s="292" t="s">
        <v>371</v>
      </c>
      <c r="E21" s="292" t="s">
        <v>383</v>
      </c>
    </row>
    <row r="22" spans="1:9">
      <c r="A22" s="292" t="s">
        <v>384</v>
      </c>
      <c r="C22" s="292">
        <v>50</v>
      </c>
    </row>
    <row r="23" spans="1:9">
      <c r="A23" s="292" t="s">
        <v>376</v>
      </c>
      <c r="B23" s="292">
        <v>1440</v>
      </c>
      <c r="C23" s="292">
        <f>C18+E18+C22</f>
        <v>1365</v>
      </c>
    </row>
    <row r="24" spans="1:9">
      <c r="A24" s="292" t="s">
        <v>379</v>
      </c>
    </row>
    <row r="29" spans="1:9">
      <c r="A29" s="292" t="s">
        <v>392</v>
      </c>
    </row>
    <row r="30" spans="1:9">
      <c r="B30" s="292" t="s">
        <v>393</v>
      </c>
    </row>
    <row r="31" spans="1:9">
      <c r="A31" s="292" t="s">
        <v>394</v>
      </c>
      <c r="B31" s="2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0CCC4-B32B-49DA-9E7C-3BC466CBAA02}">
  <sheetPr codeName="Sheet48"/>
  <dimension ref="C1:AA76"/>
  <sheetViews>
    <sheetView workbookViewId="0"/>
  </sheetViews>
  <sheetFormatPr defaultColWidth="20.33203125" defaultRowHeight="14.5"/>
  <cols>
    <col min="1" max="1" width="20.33203125" style="292"/>
    <col min="2" max="2" width="46.109375" style="292" customWidth="1"/>
    <col min="3" max="3" width="73" style="292" customWidth="1"/>
    <col min="4" max="4" width="58.33203125" style="292" customWidth="1"/>
    <col min="5" max="5" width="47.33203125" style="292" customWidth="1"/>
    <col min="6" max="6" width="20.33203125" style="292"/>
    <col min="7" max="7" width="86.44140625" style="292" customWidth="1"/>
    <col min="8" max="8" width="97.44140625" style="292" customWidth="1"/>
    <col min="9" max="9" width="32.6640625" style="292" customWidth="1"/>
    <col min="10" max="11" width="20.33203125" style="292"/>
    <col min="12" max="12" width="62" style="292" customWidth="1"/>
    <col min="13" max="14" width="20.33203125" style="292"/>
    <col min="15" max="15" width="80.33203125" style="292" customWidth="1"/>
    <col min="16" max="16" width="20.33203125" style="292"/>
    <col min="17" max="18" width="20.44140625" style="292" customWidth="1"/>
    <col min="19" max="19" width="37.5546875" style="292" customWidth="1"/>
    <col min="20" max="16384" width="20.33203125" style="292"/>
  </cols>
  <sheetData>
    <row r="1" spans="3:16" ht="18">
      <c r="C1" s="296" t="s">
        <v>395</v>
      </c>
      <c r="D1" s="296" t="s">
        <v>396</v>
      </c>
      <c r="E1" s="296" t="s">
        <v>397</v>
      </c>
      <c r="H1" s="296" t="s">
        <v>398</v>
      </c>
      <c r="L1" s="296" t="s">
        <v>399</v>
      </c>
    </row>
    <row r="2" spans="3:16" ht="17" customHeight="1">
      <c r="C2" s="292" t="s">
        <v>400</v>
      </c>
      <c r="D2" s="292" t="s">
        <v>401</v>
      </c>
      <c r="E2" s="292" t="s">
        <v>402</v>
      </c>
      <c r="H2" s="292" t="s">
        <v>403</v>
      </c>
    </row>
    <row r="3" spans="3:16">
      <c r="C3" s="292" t="s">
        <v>404</v>
      </c>
      <c r="D3" s="297">
        <v>0.3</v>
      </c>
      <c r="H3" s="298" t="s">
        <v>258</v>
      </c>
      <c r="I3" s="299">
        <f>D15</f>
        <v>0.9</v>
      </c>
      <c r="J3" s="298" t="s">
        <v>209</v>
      </c>
      <c r="O3" s="298"/>
      <c r="P3" s="299"/>
    </row>
    <row r="4" spans="3:16">
      <c r="C4" s="292" t="s">
        <v>405</v>
      </c>
      <c r="D4" s="297">
        <v>6</v>
      </c>
      <c r="H4" s="300" t="s">
        <v>186</v>
      </c>
      <c r="I4" s="301">
        <f>D10</f>
        <v>500</v>
      </c>
      <c r="J4" s="300" t="s">
        <v>122</v>
      </c>
      <c r="O4" s="300"/>
      <c r="P4" s="301"/>
    </row>
    <row r="5" spans="3:16">
      <c r="C5" s="292" t="s">
        <v>406</v>
      </c>
      <c r="D5" s="297">
        <v>35</v>
      </c>
      <c r="H5" s="302" t="s">
        <v>70</v>
      </c>
      <c r="I5" s="299">
        <f>D14</f>
        <v>1</v>
      </c>
      <c r="J5" s="302" t="s">
        <v>209</v>
      </c>
      <c r="O5" s="302"/>
      <c r="P5" s="299"/>
    </row>
    <row r="6" spans="3:16" ht="18">
      <c r="C6" s="292" t="s">
        <v>407</v>
      </c>
      <c r="D6" s="297">
        <v>5000</v>
      </c>
      <c r="H6" s="300" t="s">
        <v>210</v>
      </c>
      <c r="I6" s="301">
        <v>1</v>
      </c>
      <c r="J6" s="300"/>
      <c r="L6" s="296" t="s">
        <v>408</v>
      </c>
      <c r="O6" s="300"/>
      <c r="P6" s="301"/>
    </row>
    <row r="7" spans="3:16">
      <c r="C7" s="292" t="s">
        <v>409</v>
      </c>
      <c r="D7" s="297">
        <v>1000</v>
      </c>
      <c r="H7" s="300" t="s">
        <v>187</v>
      </c>
      <c r="I7" s="301"/>
      <c r="J7" s="300" t="s">
        <v>122</v>
      </c>
      <c r="O7" s="300"/>
      <c r="P7" s="301"/>
    </row>
    <row r="8" spans="3:16" ht="18">
      <c r="D8" s="294"/>
      <c r="H8" s="300" t="s">
        <v>313</v>
      </c>
      <c r="I8" s="301">
        <f>D11</f>
        <v>2</v>
      </c>
      <c r="J8" s="300" t="s">
        <v>71</v>
      </c>
      <c r="L8" s="296" t="s">
        <v>71</v>
      </c>
      <c r="M8" s="296" t="s">
        <v>410</v>
      </c>
      <c r="O8" s="300"/>
      <c r="P8" s="301"/>
    </row>
    <row r="9" spans="3:16">
      <c r="C9" s="292" t="s">
        <v>411</v>
      </c>
      <c r="D9" s="297"/>
      <c r="H9" s="300" t="s">
        <v>275</v>
      </c>
      <c r="I9" s="301">
        <f>D12</f>
        <v>35</v>
      </c>
      <c r="J9" s="300" t="s">
        <v>257</v>
      </c>
      <c r="L9" s="292" t="s">
        <v>412</v>
      </c>
      <c r="M9" s="292">
        <v>2023</v>
      </c>
      <c r="O9" s="300"/>
      <c r="P9" s="301"/>
    </row>
    <row r="10" spans="3:16">
      <c r="C10" s="292" t="s">
        <v>413</v>
      </c>
      <c r="D10" s="297">
        <v>500</v>
      </c>
      <c r="H10" s="300" t="s">
        <v>276</v>
      </c>
      <c r="I10" s="301">
        <f>D13</f>
        <v>24</v>
      </c>
      <c r="J10" s="300" t="s">
        <v>71</v>
      </c>
      <c r="L10" s="292" t="s">
        <v>414</v>
      </c>
      <c r="M10" s="292">
        <v>2024</v>
      </c>
      <c r="O10" s="300"/>
      <c r="P10" s="301"/>
    </row>
    <row r="11" spans="3:16" ht="15" customHeight="1">
      <c r="C11" s="292" t="s">
        <v>415</v>
      </c>
      <c r="D11" s="297">
        <v>2</v>
      </c>
      <c r="H11" s="300" t="s">
        <v>3</v>
      </c>
      <c r="I11" s="301">
        <v>12</v>
      </c>
      <c r="J11" s="300" t="s">
        <v>71</v>
      </c>
      <c r="L11" s="292" t="s">
        <v>416</v>
      </c>
      <c r="M11" s="292">
        <v>2025</v>
      </c>
      <c r="O11" s="300"/>
      <c r="P11" s="301"/>
    </row>
    <row r="12" spans="3:16" ht="19" customHeight="1">
      <c r="C12" s="292" t="s">
        <v>417</v>
      </c>
      <c r="D12" s="297">
        <v>35</v>
      </c>
      <c r="I12" s="294"/>
      <c r="L12" s="292" t="s">
        <v>418</v>
      </c>
      <c r="M12" s="292">
        <v>2026</v>
      </c>
      <c r="O12" s="303"/>
      <c r="P12" s="303"/>
    </row>
    <row r="13" spans="3:16">
      <c r="C13" s="292" t="s">
        <v>419</v>
      </c>
      <c r="D13" s="297">
        <v>24</v>
      </c>
      <c r="I13" s="294"/>
      <c r="L13" s="292" t="s">
        <v>420</v>
      </c>
      <c r="M13" s="292">
        <v>2027</v>
      </c>
      <c r="O13" s="303"/>
      <c r="P13" s="303"/>
    </row>
    <row r="14" spans="3:16">
      <c r="C14" s="292" t="s">
        <v>421</v>
      </c>
      <c r="D14" s="297">
        <v>1</v>
      </c>
      <c r="H14" s="300" t="s">
        <v>99</v>
      </c>
      <c r="I14" s="301">
        <f>D18</f>
        <v>25000</v>
      </c>
      <c r="J14" s="300" t="s">
        <v>257</v>
      </c>
      <c r="L14" s="292" t="s">
        <v>422</v>
      </c>
      <c r="M14" s="292">
        <v>2028</v>
      </c>
      <c r="O14" s="300"/>
      <c r="P14" s="301"/>
    </row>
    <row r="15" spans="3:16">
      <c r="C15" s="292" t="s">
        <v>423</v>
      </c>
      <c r="D15" s="297">
        <v>0.9</v>
      </c>
      <c r="H15" s="302" t="s">
        <v>335</v>
      </c>
      <c r="I15" s="299">
        <f>D19</f>
        <v>0.1</v>
      </c>
      <c r="J15" s="302" t="s">
        <v>209</v>
      </c>
      <c r="L15" s="292" t="s">
        <v>424</v>
      </c>
      <c r="O15" s="302"/>
      <c r="P15" s="299"/>
    </row>
    <row r="16" spans="3:16">
      <c r="D16" s="294"/>
      <c r="H16" s="300" t="s">
        <v>314</v>
      </c>
      <c r="I16" s="301">
        <v>3</v>
      </c>
      <c r="J16" s="300" t="s">
        <v>71</v>
      </c>
      <c r="L16" s="292" t="s">
        <v>425</v>
      </c>
      <c r="O16" s="300"/>
      <c r="P16" s="301"/>
    </row>
    <row r="17" spans="3:16">
      <c r="C17" s="292" t="s">
        <v>426</v>
      </c>
      <c r="D17" s="297"/>
      <c r="H17" s="302" t="s">
        <v>315</v>
      </c>
      <c r="I17" s="299">
        <f>D20</f>
        <v>0.05</v>
      </c>
      <c r="J17" s="302" t="s">
        <v>209</v>
      </c>
      <c r="L17" s="292" t="s">
        <v>427</v>
      </c>
      <c r="O17" s="302"/>
      <c r="P17" s="299"/>
    </row>
    <row r="18" spans="3:16">
      <c r="C18" s="292" t="s">
        <v>428</v>
      </c>
      <c r="D18" s="297">
        <v>25000</v>
      </c>
      <c r="I18" s="294"/>
      <c r="L18" s="292" t="s">
        <v>429</v>
      </c>
      <c r="O18" s="303"/>
      <c r="P18" s="303"/>
    </row>
    <row r="19" spans="3:16">
      <c r="C19" s="292" t="s">
        <v>430</v>
      </c>
      <c r="D19" s="297">
        <v>0.1</v>
      </c>
      <c r="I19" s="294"/>
      <c r="L19" s="292" t="s">
        <v>431</v>
      </c>
      <c r="O19" s="303"/>
      <c r="P19" s="303"/>
    </row>
    <row r="20" spans="3:16">
      <c r="C20" s="292" t="s">
        <v>432</v>
      </c>
      <c r="D20" s="297">
        <v>0.05</v>
      </c>
      <c r="H20" s="300" t="s">
        <v>72</v>
      </c>
      <c r="I20" s="301">
        <f>D7</f>
        <v>1000</v>
      </c>
      <c r="J20" s="300" t="s">
        <v>122</v>
      </c>
      <c r="L20" s="292" t="s">
        <v>433</v>
      </c>
      <c r="O20" s="300"/>
      <c r="P20" s="301"/>
    </row>
    <row r="21" spans="3:16">
      <c r="D21" s="294"/>
      <c r="H21" s="302" t="s">
        <v>47</v>
      </c>
      <c r="I21" s="299">
        <f>D3</f>
        <v>0.3</v>
      </c>
      <c r="J21" s="302" t="s">
        <v>209</v>
      </c>
      <c r="O21" s="302"/>
      <c r="P21" s="299"/>
    </row>
    <row r="22" spans="3:16">
      <c r="D22" s="294"/>
      <c r="H22" s="300" t="s">
        <v>48</v>
      </c>
      <c r="I22" s="301">
        <f>D4</f>
        <v>6</v>
      </c>
      <c r="J22" s="300" t="s">
        <v>71</v>
      </c>
      <c r="O22" s="300"/>
      <c r="P22" s="301"/>
    </row>
    <row r="23" spans="3:16">
      <c r="D23" s="294"/>
      <c r="H23" s="300" t="s">
        <v>211</v>
      </c>
      <c r="I23" s="301">
        <f>D5</f>
        <v>35</v>
      </c>
      <c r="J23" s="300" t="s">
        <v>257</v>
      </c>
      <c r="O23" s="300"/>
      <c r="P23" s="301"/>
    </row>
    <row r="24" spans="3:16">
      <c r="D24" s="294"/>
      <c r="H24" s="300" t="s">
        <v>292</v>
      </c>
      <c r="I24" s="301">
        <f>D6</f>
        <v>5000</v>
      </c>
      <c r="J24" s="300" t="s">
        <v>122</v>
      </c>
      <c r="O24" s="300"/>
      <c r="P24" s="301"/>
    </row>
    <row r="25" spans="3:16">
      <c r="D25" s="294"/>
      <c r="I25" s="294"/>
      <c r="O25" s="303"/>
      <c r="P25" s="303"/>
    </row>
    <row r="26" spans="3:16">
      <c r="D26" s="294"/>
      <c r="I26" s="294"/>
      <c r="O26" s="303"/>
      <c r="P26" s="303"/>
    </row>
    <row r="27" spans="3:16">
      <c r="D27" s="294"/>
      <c r="H27" s="300" t="s">
        <v>234</v>
      </c>
      <c r="I27" s="301">
        <v>0</v>
      </c>
      <c r="O27" s="300"/>
      <c r="P27" s="301"/>
    </row>
    <row r="28" spans="3:16">
      <c r="D28" s="294"/>
      <c r="E28" s="292" t="s">
        <v>434</v>
      </c>
      <c r="H28" s="300" t="s">
        <v>163</v>
      </c>
      <c r="I28" s="301">
        <v>24</v>
      </c>
      <c r="O28" s="300"/>
      <c r="P28" s="301"/>
    </row>
    <row r="29" spans="3:16">
      <c r="C29" s="292" t="s">
        <v>435</v>
      </c>
      <c r="D29" s="304" t="s">
        <v>436</v>
      </c>
      <c r="E29" s="305">
        <f>IF(D29="unchecked",0,DATE(D31,D30,"01"))</f>
        <v>0</v>
      </c>
      <c r="H29" s="300" t="s">
        <v>336</v>
      </c>
      <c r="I29" s="301"/>
      <c r="J29" s="300" t="s">
        <v>122</v>
      </c>
      <c r="O29" s="300"/>
      <c r="P29" s="301"/>
    </row>
    <row r="30" spans="3:16">
      <c r="C30" s="292" t="s">
        <v>437</v>
      </c>
      <c r="D30" s="304">
        <v>5</v>
      </c>
      <c r="H30" s="300" t="s">
        <v>293</v>
      </c>
      <c r="I30" s="301"/>
      <c r="J30" s="300" t="s">
        <v>122</v>
      </c>
      <c r="O30" s="300"/>
      <c r="P30" s="301"/>
    </row>
    <row r="31" spans="3:16">
      <c r="C31" s="292" t="s">
        <v>438</v>
      </c>
      <c r="D31" s="304">
        <v>2023</v>
      </c>
      <c r="E31" s="292" t="s">
        <v>439</v>
      </c>
      <c r="H31" s="300" t="s">
        <v>164</v>
      </c>
      <c r="I31" s="301"/>
      <c r="J31" s="300" t="s">
        <v>122</v>
      </c>
      <c r="O31" s="300"/>
      <c r="P31" s="301"/>
    </row>
    <row r="32" spans="3:16">
      <c r="D32" s="294"/>
      <c r="E32" s="305">
        <f>IF(D29="unchecked",0,DATE(D34,D33,1))</f>
        <v>0</v>
      </c>
      <c r="I32" s="294"/>
      <c r="O32" s="303"/>
      <c r="P32" s="303"/>
    </row>
    <row r="33" spans="3:16">
      <c r="C33" s="292" t="s">
        <v>440</v>
      </c>
      <c r="D33" s="304">
        <v>4</v>
      </c>
      <c r="I33" s="294"/>
      <c r="O33" s="303"/>
      <c r="P33" s="303"/>
    </row>
    <row r="34" spans="3:16">
      <c r="C34" s="292" t="s">
        <v>441</v>
      </c>
      <c r="D34" s="304">
        <v>2028</v>
      </c>
      <c r="H34" s="300" t="s">
        <v>213</v>
      </c>
      <c r="I34" s="292">
        <v>0</v>
      </c>
      <c r="O34" s="300"/>
      <c r="P34" s="301"/>
    </row>
    <row r="35" spans="3:16">
      <c r="D35" s="294"/>
      <c r="E35" s="292" t="s">
        <v>434</v>
      </c>
      <c r="H35" s="300" t="s">
        <v>4</v>
      </c>
      <c r="I35" s="292">
        <v>0</v>
      </c>
      <c r="O35" s="300"/>
      <c r="P35" s="301"/>
    </row>
    <row r="36" spans="3:16">
      <c r="C36" s="292" t="s">
        <v>442</v>
      </c>
      <c r="D36" s="304" t="s">
        <v>436</v>
      </c>
      <c r="E36" s="305">
        <f>IF(D36="unchecked",0,DATE(D38,D37,"01"))</f>
        <v>0</v>
      </c>
      <c r="H36" s="300" t="s">
        <v>337</v>
      </c>
      <c r="I36" s="301"/>
      <c r="J36" s="300" t="s">
        <v>257</v>
      </c>
      <c r="O36" s="300"/>
      <c r="P36" s="301"/>
    </row>
    <row r="37" spans="3:16">
      <c r="C37" s="292" t="s">
        <v>443</v>
      </c>
      <c r="D37" s="304">
        <v>5</v>
      </c>
      <c r="H37" s="300" t="s">
        <v>165</v>
      </c>
      <c r="I37" s="301"/>
      <c r="J37" s="300" t="s">
        <v>257</v>
      </c>
      <c r="O37" s="300"/>
      <c r="P37" s="301"/>
    </row>
    <row r="38" spans="3:16">
      <c r="C38" s="292" t="s">
        <v>444</v>
      </c>
      <c r="D38" s="304">
        <v>2023</v>
      </c>
      <c r="E38" s="292" t="s">
        <v>439</v>
      </c>
      <c r="H38" s="300" t="s">
        <v>188</v>
      </c>
      <c r="I38" s="301"/>
      <c r="J38" s="300" t="s">
        <v>257</v>
      </c>
      <c r="O38" s="300"/>
      <c r="P38" s="301"/>
    </row>
    <row r="39" spans="3:16">
      <c r="D39" s="294"/>
      <c r="E39" s="305">
        <f>IF(D36="unchecked",0,DATE(D41,D40,1))</f>
        <v>0</v>
      </c>
      <c r="H39" s="300" t="s">
        <v>5</v>
      </c>
      <c r="I39" s="301"/>
      <c r="J39" s="300" t="s">
        <v>257</v>
      </c>
      <c r="O39" s="300"/>
      <c r="P39" s="301"/>
    </row>
    <row r="40" spans="3:16" ht="18">
      <c r="C40" s="292" t="s">
        <v>445</v>
      </c>
      <c r="D40" s="304">
        <v>4</v>
      </c>
      <c r="H40" s="300" t="s">
        <v>123</v>
      </c>
      <c r="I40" s="301"/>
      <c r="J40" s="300" t="s">
        <v>257</v>
      </c>
      <c r="L40" s="296" t="s">
        <v>446</v>
      </c>
      <c r="O40" s="300"/>
      <c r="P40" s="301"/>
    </row>
    <row r="41" spans="3:16">
      <c r="C41" s="292" t="s">
        <v>447</v>
      </c>
      <c r="D41" s="304">
        <v>2028</v>
      </c>
      <c r="H41" s="300" t="s">
        <v>235</v>
      </c>
      <c r="I41" s="301"/>
      <c r="J41" s="300" t="s">
        <v>257</v>
      </c>
      <c r="L41" s="292" t="s">
        <v>389</v>
      </c>
      <c r="O41" s="300"/>
      <c r="P41" s="301"/>
    </row>
    <row r="42" spans="3:16">
      <c r="D42" s="294"/>
      <c r="E42" s="292" t="s">
        <v>434</v>
      </c>
      <c r="H42" s="300" t="s">
        <v>73</v>
      </c>
      <c r="I42" s="301"/>
      <c r="J42" s="300" t="s">
        <v>257</v>
      </c>
      <c r="L42" s="292" t="s">
        <v>448</v>
      </c>
      <c r="O42" s="300"/>
      <c r="P42" s="301"/>
    </row>
    <row r="43" spans="3:16">
      <c r="C43" s="292" t="s">
        <v>449</v>
      </c>
      <c r="D43" s="304" t="s">
        <v>436</v>
      </c>
      <c r="E43" s="305">
        <f>IF(D43="unchecked",0,DATE(D45,D44,"01"))</f>
        <v>0</v>
      </c>
      <c r="I43" s="294"/>
      <c r="L43" s="292" t="s">
        <v>450</v>
      </c>
      <c r="O43" s="303"/>
      <c r="P43" s="303"/>
    </row>
    <row r="44" spans="3:16">
      <c r="C44" s="292" t="s">
        <v>451</v>
      </c>
      <c r="D44" s="304">
        <v>5</v>
      </c>
      <c r="I44" s="294"/>
      <c r="L44" s="292" t="s">
        <v>452</v>
      </c>
      <c r="O44" s="303"/>
      <c r="P44" s="303"/>
    </row>
    <row r="45" spans="3:16">
      <c r="C45" s="292" t="s">
        <v>453</v>
      </c>
      <c r="D45" s="304">
        <v>2023</v>
      </c>
      <c r="E45" s="292" t="s">
        <v>439</v>
      </c>
      <c r="H45" s="300" t="s">
        <v>277</v>
      </c>
      <c r="I45" s="301">
        <v>30</v>
      </c>
      <c r="J45" s="300" t="s">
        <v>124</v>
      </c>
      <c r="L45" s="292" t="s">
        <v>454</v>
      </c>
      <c r="O45" s="300"/>
      <c r="P45" s="301"/>
    </row>
    <row r="46" spans="3:16">
      <c r="D46" s="294"/>
      <c r="E46" s="305">
        <f>IF(D43="unchecked",0,DATE(D48,D47,1))</f>
        <v>0</v>
      </c>
      <c r="H46" s="300" t="s">
        <v>294</v>
      </c>
      <c r="I46" s="301">
        <v>360</v>
      </c>
      <c r="J46" s="300" t="s">
        <v>124</v>
      </c>
      <c r="O46" s="300"/>
      <c r="P46" s="301"/>
    </row>
    <row r="47" spans="3:16">
      <c r="C47" s="292" t="s">
        <v>455</v>
      </c>
      <c r="D47" s="304">
        <v>4</v>
      </c>
      <c r="I47" s="294"/>
      <c r="O47" s="303"/>
      <c r="P47" s="303"/>
    </row>
    <row r="48" spans="3:16">
      <c r="C48" s="292" t="s">
        <v>456</v>
      </c>
      <c r="D48" s="304">
        <v>2028</v>
      </c>
      <c r="I48" s="294"/>
      <c r="O48" s="303"/>
      <c r="P48" s="303"/>
    </row>
    <row r="49" spans="3:27">
      <c r="D49" s="294"/>
      <c r="E49" s="306"/>
      <c r="H49" s="307" t="s">
        <v>259</v>
      </c>
      <c r="I49" s="301">
        <f>E29</f>
        <v>0</v>
      </c>
      <c r="J49" s="307" t="s">
        <v>214</v>
      </c>
      <c r="O49" s="307"/>
      <c r="P49" s="308"/>
    </row>
    <row r="50" spans="3:27">
      <c r="C50" s="292" t="s">
        <v>457</v>
      </c>
      <c r="D50" s="309">
        <v>8.5000000000000006E-2</v>
      </c>
      <c r="H50" s="307" t="s">
        <v>49</v>
      </c>
      <c r="I50" s="301">
        <f>E32</f>
        <v>0</v>
      </c>
      <c r="J50" s="307" t="s">
        <v>214</v>
      </c>
      <c r="O50" s="307"/>
      <c r="P50" s="308"/>
    </row>
    <row r="51" spans="3:27">
      <c r="C51" s="292" t="s">
        <v>458</v>
      </c>
      <c r="D51" s="309">
        <v>0.9</v>
      </c>
      <c r="H51" s="302" t="s">
        <v>316</v>
      </c>
      <c r="I51" s="310">
        <f>D51</f>
        <v>0.9</v>
      </c>
      <c r="J51" s="302" t="s">
        <v>209</v>
      </c>
      <c r="O51" s="302"/>
      <c r="P51" s="299"/>
    </row>
    <row r="52" spans="3:27">
      <c r="D52" s="311"/>
      <c r="H52" s="302" t="s">
        <v>27</v>
      </c>
      <c r="I52" s="310">
        <f>D50</f>
        <v>8.5000000000000006E-2</v>
      </c>
      <c r="J52" s="302" t="s">
        <v>209</v>
      </c>
      <c r="O52" s="302"/>
      <c r="P52" s="299"/>
    </row>
    <row r="53" spans="3:27">
      <c r="C53" s="292" t="s">
        <v>459</v>
      </c>
      <c r="D53" s="309">
        <v>0.08</v>
      </c>
      <c r="H53" s="300" t="s">
        <v>215</v>
      </c>
      <c r="I53" s="301"/>
      <c r="J53" s="300" t="s">
        <v>257</v>
      </c>
      <c r="O53" s="300"/>
      <c r="P53" s="301"/>
    </row>
    <row r="54" spans="3:27">
      <c r="C54" s="292" t="s">
        <v>460</v>
      </c>
      <c r="D54" s="309">
        <v>0.8</v>
      </c>
      <c r="I54" s="294"/>
      <c r="O54" s="303"/>
      <c r="P54" s="303"/>
    </row>
    <row r="55" spans="3:27">
      <c r="D55" s="311"/>
      <c r="I55" s="294"/>
      <c r="O55" s="303"/>
      <c r="P55" s="303"/>
    </row>
    <row r="56" spans="3:27">
      <c r="C56" s="292" t="s">
        <v>461</v>
      </c>
      <c r="D56" s="309">
        <v>0.08</v>
      </c>
      <c r="H56" s="307" t="s">
        <v>462</v>
      </c>
      <c r="I56" s="301">
        <f>E39</f>
        <v>0</v>
      </c>
      <c r="J56" s="307" t="s">
        <v>214</v>
      </c>
      <c r="O56" s="307"/>
      <c r="P56" s="308"/>
    </row>
    <row r="57" spans="3:27">
      <c r="C57" s="292" t="s">
        <v>463</v>
      </c>
      <c r="D57" s="309">
        <v>1</v>
      </c>
      <c r="H57" s="307" t="s">
        <v>464</v>
      </c>
      <c r="I57" s="301">
        <f>E36</f>
        <v>0</v>
      </c>
      <c r="J57" s="307" t="s">
        <v>214</v>
      </c>
      <c r="O57" s="307"/>
      <c r="P57" s="308"/>
    </row>
    <row r="58" spans="3:27">
      <c r="D58" s="294"/>
      <c r="H58" s="300" t="s">
        <v>465</v>
      </c>
      <c r="I58" s="301"/>
      <c r="J58" s="300" t="s">
        <v>257</v>
      </c>
      <c r="O58" s="300"/>
      <c r="P58" s="301"/>
    </row>
    <row r="59" spans="3:27">
      <c r="D59" s="294"/>
      <c r="H59" s="302" t="s">
        <v>51</v>
      </c>
      <c r="I59" s="299">
        <f>D53</f>
        <v>0.08</v>
      </c>
      <c r="J59" s="302" t="s">
        <v>209</v>
      </c>
      <c r="M59" s="294"/>
      <c r="N59" s="294"/>
      <c r="O59" s="302"/>
      <c r="P59" s="299"/>
      <c r="Q59" s="294"/>
      <c r="R59" s="294"/>
      <c r="S59" s="294"/>
      <c r="T59" s="294"/>
      <c r="U59" s="294"/>
      <c r="V59" s="294"/>
      <c r="W59" s="294"/>
      <c r="X59" s="294"/>
      <c r="Y59" s="294"/>
      <c r="Z59" s="294"/>
      <c r="AA59" s="294"/>
    </row>
    <row r="60" spans="3:27">
      <c r="D60" s="294"/>
      <c r="H60" s="302" t="s">
        <v>466</v>
      </c>
      <c r="I60" s="299">
        <f>D54</f>
        <v>0.8</v>
      </c>
      <c r="J60" s="302" t="s">
        <v>209</v>
      </c>
      <c r="M60" s="294"/>
      <c r="N60" s="294"/>
      <c r="O60" s="302"/>
      <c r="P60" s="299"/>
      <c r="Q60" s="294"/>
      <c r="R60" s="294"/>
      <c r="S60" s="294"/>
      <c r="T60" s="294"/>
      <c r="U60" s="294"/>
      <c r="V60" s="294"/>
      <c r="W60" s="294"/>
      <c r="X60" s="294"/>
      <c r="Y60" s="294"/>
      <c r="Z60" s="294"/>
      <c r="AA60" s="294"/>
    </row>
    <row r="61" spans="3:27">
      <c r="D61" s="294"/>
      <c r="I61" s="294"/>
      <c r="M61" s="294"/>
      <c r="N61" s="294"/>
      <c r="O61" s="303"/>
      <c r="P61" s="303"/>
      <c r="Q61" s="294"/>
      <c r="R61" s="294"/>
      <c r="S61" s="294"/>
      <c r="T61" s="294"/>
      <c r="U61" s="294"/>
      <c r="V61" s="294"/>
      <c r="W61" s="294"/>
      <c r="X61" s="294"/>
      <c r="Y61" s="294"/>
      <c r="Z61" s="294"/>
      <c r="AA61" s="294"/>
    </row>
    <row r="62" spans="3:27">
      <c r="D62" s="294"/>
      <c r="I62" s="294"/>
      <c r="M62" s="294"/>
      <c r="N62" s="294"/>
      <c r="O62" s="303"/>
      <c r="P62" s="303"/>
      <c r="Q62" s="294"/>
      <c r="R62" s="294"/>
      <c r="S62" s="294"/>
      <c r="T62" s="294"/>
      <c r="U62" s="294"/>
      <c r="V62" s="294"/>
      <c r="W62" s="294"/>
      <c r="X62" s="294"/>
      <c r="Y62" s="294"/>
      <c r="Z62" s="294"/>
      <c r="AA62" s="294"/>
    </row>
    <row r="63" spans="3:27">
      <c r="D63" s="294"/>
      <c r="H63" s="307" t="s">
        <v>296</v>
      </c>
      <c r="I63" s="308">
        <f>E46</f>
        <v>0</v>
      </c>
      <c r="M63" s="294"/>
      <c r="N63" s="294"/>
      <c r="O63" s="307"/>
      <c r="P63" s="308"/>
      <c r="Q63" s="294"/>
      <c r="R63" s="294"/>
      <c r="S63" s="294"/>
      <c r="T63" s="294"/>
      <c r="U63" s="294"/>
      <c r="V63" s="294"/>
      <c r="W63" s="294"/>
      <c r="X63" s="294"/>
      <c r="Y63" s="294"/>
      <c r="Z63" s="294"/>
      <c r="AA63" s="294"/>
    </row>
    <row r="64" spans="3:27">
      <c r="D64" s="294"/>
      <c r="H64" s="307" t="s">
        <v>279</v>
      </c>
      <c r="I64" s="308">
        <f>E43</f>
        <v>0</v>
      </c>
      <c r="M64" s="294"/>
      <c r="N64" s="294"/>
      <c r="O64" s="307"/>
      <c r="P64" s="308"/>
      <c r="Q64" s="294"/>
      <c r="R64" s="294"/>
      <c r="S64" s="294"/>
      <c r="T64" s="294"/>
      <c r="U64" s="294"/>
      <c r="V64" s="294"/>
      <c r="W64" s="294"/>
      <c r="X64" s="294"/>
      <c r="Y64" s="294"/>
      <c r="Z64" s="294"/>
      <c r="AA64" s="294"/>
    </row>
    <row r="65" spans="4:27">
      <c r="D65" s="294"/>
      <c r="H65" s="302" t="s">
        <v>51</v>
      </c>
      <c r="I65" s="310">
        <f>D56</f>
        <v>0.08</v>
      </c>
      <c r="M65" s="294"/>
      <c r="N65" s="294"/>
      <c r="O65" s="302"/>
      <c r="P65" s="299"/>
      <c r="Q65" s="294"/>
      <c r="R65" s="294"/>
      <c r="S65" s="294"/>
      <c r="T65" s="294"/>
      <c r="U65" s="294"/>
      <c r="V65" s="294"/>
      <c r="W65" s="294"/>
      <c r="X65" s="294"/>
      <c r="Y65" s="294"/>
      <c r="Z65" s="294"/>
      <c r="AA65" s="294"/>
    </row>
    <row r="66" spans="4:27">
      <c r="D66" s="294"/>
      <c r="H66" s="300" t="s">
        <v>101</v>
      </c>
      <c r="I66" s="301">
        <v>24</v>
      </c>
      <c r="M66" s="294"/>
      <c r="N66" s="294"/>
      <c r="O66" s="300"/>
      <c r="P66" s="301"/>
      <c r="Q66" s="294"/>
      <c r="R66" s="294"/>
      <c r="S66" s="294"/>
      <c r="T66" s="294"/>
      <c r="U66" s="294"/>
      <c r="V66" s="294"/>
      <c r="W66" s="294"/>
      <c r="X66" s="294"/>
      <c r="Y66" s="294"/>
      <c r="Z66" s="294"/>
      <c r="AA66" s="294"/>
    </row>
    <row r="67" spans="4:27">
      <c r="D67" s="294"/>
      <c r="H67" s="302" t="s">
        <v>52</v>
      </c>
      <c r="I67" s="310">
        <f>D57</f>
        <v>1</v>
      </c>
      <c r="J67" s="300"/>
      <c r="M67" s="294"/>
      <c r="N67" s="294"/>
      <c r="O67" s="302"/>
      <c r="P67" s="299"/>
      <c r="Q67" s="294"/>
      <c r="R67" s="294"/>
      <c r="S67" s="294"/>
      <c r="T67" s="294"/>
      <c r="U67" s="294"/>
      <c r="V67" s="294"/>
      <c r="W67" s="294"/>
      <c r="X67" s="294"/>
      <c r="Y67" s="294"/>
      <c r="Z67" s="294"/>
      <c r="AA67" s="294"/>
    </row>
    <row r="68" spans="4:27">
      <c r="D68" s="294"/>
      <c r="H68" s="300" t="s">
        <v>190</v>
      </c>
      <c r="I68" s="301">
        <v>0</v>
      </c>
      <c r="J68" s="300"/>
      <c r="M68" s="294"/>
      <c r="N68" s="294"/>
      <c r="O68" s="300"/>
      <c r="P68" s="301"/>
      <c r="Q68" s="294"/>
      <c r="R68" s="294"/>
      <c r="S68" s="294"/>
      <c r="T68" s="294"/>
      <c r="U68" s="294"/>
      <c r="V68" s="294"/>
      <c r="W68" s="294"/>
      <c r="X68" s="294"/>
      <c r="Y68" s="294"/>
      <c r="Z68" s="294"/>
      <c r="AA68" s="294"/>
    </row>
    <row r="69" spans="4:27">
      <c r="D69" s="294"/>
    </row>
    <row r="70" spans="4:27">
      <c r="D70" s="294"/>
    </row>
    <row r="71" spans="4:27">
      <c r="D71" s="294"/>
      <c r="M71" s="294"/>
      <c r="N71" s="294"/>
      <c r="O71" s="294"/>
      <c r="P71" s="294"/>
      <c r="Q71" s="294"/>
      <c r="R71" s="294"/>
      <c r="S71" s="294"/>
      <c r="T71" s="294"/>
      <c r="U71" s="294"/>
      <c r="V71" s="294"/>
      <c r="W71" s="294"/>
      <c r="X71" s="294"/>
      <c r="Y71" s="294"/>
      <c r="Z71" s="294"/>
      <c r="AA71" s="294"/>
    </row>
    <row r="72" spans="4:27">
      <c r="D72" s="294"/>
      <c r="M72" s="294"/>
      <c r="N72" s="294"/>
      <c r="O72" s="294"/>
      <c r="P72" s="294"/>
      <c r="Q72" s="294"/>
      <c r="R72" s="294"/>
      <c r="S72" s="294"/>
      <c r="T72" s="294"/>
      <c r="U72" s="294"/>
      <c r="V72" s="294"/>
      <c r="W72" s="294"/>
      <c r="X72" s="294"/>
      <c r="Y72" s="294"/>
      <c r="Z72" s="294"/>
      <c r="AA72" s="294"/>
    </row>
    <row r="73" spans="4:27">
      <c r="D73" s="294"/>
      <c r="M73" s="294"/>
      <c r="N73" s="294"/>
      <c r="O73" s="294"/>
      <c r="P73" s="294"/>
      <c r="Q73" s="294"/>
      <c r="R73" s="294"/>
      <c r="S73" s="294"/>
      <c r="T73" s="294"/>
      <c r="U73" s="294"/>
      <c r="V73" s="294"/>
      <c r="W73" s="294"/>
      <c r="X73" s="294"/>
      <c r="Y73" s="294"/>
      <c r="Z73" s="294"/>
      <c r="AA73" s="294"/>
    </row>
    <row r="74" spans="4:27">
      <c r="D74" s="294"/>
      <c r="M74" s="294"/>
      <c r="N74" s="294"/>
      <c r="O74" s="294"/>
      <c r="P74" s="294"/>
      <c r="Q74" s="294"/>
      <c r="R74" s="294"/>
      <c r="S74" s="294"/>
      <c r="T74" s="294"/>
      <c r="U74" s="294"/>
      <c r="V74" s="294"/>
      <c r="W74" s="294"/>
      <c r="X74" s="294"/>
      <c r="Y74" s="294"/>
      <c r="Z74" s="294"/>
      <c r="AA74" s="294"/>
    </row>
    <row r="75" spans="4:27">
      <c r="M75" s="294"/>
      <c r="N75" s="294"/>
      <c r="O75" s="294"/>
      <c r="P75" s="294"/>
      <c r="Q75" s="294"/>
      <c r="R75" s="294"/>
      <c r="S75" s="294"/>
      <c r="T75" s="294"/>
      <c r="U75" s="294"/>
      <c r="V75" s="294"/>
      <c r="W75" s="294"/>
      <c r="X75" s="294"/>
      <c r="Y75" s="294"/>
      <c r="Z75" s="294"/>
      <c r="AA75" s="294"/>
    </row>
    <row r="76" spans="4:27">
      <c r="D76" s="294"/>
      <c r="E76" s="2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1C904-1FAF-4E2A-BBDF-993E9CD5138C}">
  <sheetPr codeName="Sheet49"/>
  <dimension ref="A3:AD30"/>
  <sheetViews>
    <sheetView workbookViewId="0"/>
  </sheetViews>
  <sheetFormatPr defaultRowHeight="10"/>
  <cols>
    <col min="1" max="1" width="31.44140625" style="294" customWidth="1"/>
    <col min="2" max="2" width="21.6640625" style="294" customWidth="1"/>
    <col min="3" max="3" width="51" style="294" customWidth="1"/>
    <col min="4" max="4" width="57.109375" style="294" customWidth="1"/>
    <col min="5" max="5" width="169.5546875" style="294" customWidth="1"/>
    <col min="6" max="21" width="21.6640625" style="294" customWidth="1"/>
    <col min="22" max="16384" width="8.88671875" style="294"/>
  </cols>
  <sheetData>
    <row r="3" spans="1:30" ht="14.5">
      <c r="E3" s="292"/>
      <c r="F3" s="292" t="s">
        <v>467</v>
      </c>
    </row>
    <row r="4" spans="1:30" ht="18">
      <c r="D4" s="296" t="s">
        <v>468</v>
      </c>
      <c r="E4" s="292" t="s">
        <v>448</v>
      </c>
      <c r="F4" s="312">
        <f>_xlfn.SWITCH(SQRChartBindings!E4,"Year 1 / 2",0,"Year 2 / 3",12,"Year 3 / 4",24,"Year 4 / 5",36,0)</f>
        <v>0</v>
      </c>
    </row>
    <row r="5" spans="1:30" ht="14.5">
      <c r="E5" s="294">
        <v>1</v>
      </c>
      <c r="F5" s="292">
        <v>2</v>
      </c>
      <c r="G5" s="294">
        <v>3</v>
      </c>
      <c r="H5" s="294">
        <v>4</v>
      </c>
      <c r="I5" s="292">
        <v>5</v>
      </c>
      <c r="J5" s="294">
        <v>6</v>
      </c>
      <c r="K5" s="294">
        <v>7</v>
      </c>
      <c r="L5" s="292">
        <v>8</v>
      </c>
      <c r="M5" s="294">
        <v>9</v>
      </c>
      <c r="N5" s="294">
        <v>10</v>
      </c>
      <c r="O5" s="292">
        <v>11</v>
      </c>
      <c r="P5" s="294">
        <v>12</v>
      </c>
      <c r="Q5" s="294">
        <v>13</v>
      </c>
      <c r="R5" s="292">
        <v>14</v>
      </c>
      <c r="S5" s="294">
        <v>15</v>
      </c>
      <c r="T5" s="294">
        <v>16</v>
      </c>
      <c r="U5" s="292">
        <v>17</v>
      </c>
      <c r="V5" s="294">
        <v>18</v>
      </c>
      <c r="W5" s="294">
        <v>19</v>
      </c>
      <c r="X5" s="292">
        <v>20</v>
      </c>
      <c r="Y5" s="294">
        <v>21</v>
      </c>
      <c r="Z5" s="294">
        <v>22</v>
      </c>
      <c r="AA5" s="292">
        <v>23</v>
      </c>
      <c r="AB5" s="294">
        <v>24</v>
      </c>
      <c r="AD5" s="292"/>
    </row>
    <row r="6" spans="1:30" ht="14.5">
      <c r="A6" s="292" t="s">
        <v>469</v>
      </c>
      <c r="B6" s="292">
        <v>2</v>
      </c>
      <c r="C6" s="294" t="s">
        <v>470</v>
      </c>
      <c r="D6" s="292" t="s">
        <v>471</v>
      </c>
      <c r="E6" s="292">
        <f ca="1">OFFSET(SQRMonthly!D2,0,SQRChartBindings!$F$4,1,1)</f>
        <v>45077</v>
      </c>
      <c r="F6" s="292">
        <f ca="1">OFFSET(SQRMonthly!E2,0,SQRChartBindings!$F$4,1,1)</f>
        <v>45107</v>
      </c>
      <c r="G6" s="292">
        <f ca="1">OFFSET(SQRMonthly!F2,0,SQRChartBindings!$F$4,1,1)</f>
        <v>45138</v>
      </c>
      <c r="H6" s="292">
        <f ca="1">OFFSET(SQRMonthly!G2,0,SQRChartBindings!$F$4,1,1)</f>
        <v>45169</v>
      </c>
      <c r="I6" s="292">
        <f ca="1">OFFSET(SQRMonthly!H2,0,SQRChartBindings!$F$4,1,1)</f>
        <v>45199</v>
      </c>
      <c r="J6" s="292">
        <f ca="1">OFFSET(SQRMonthly!I2,0,SQRChartBindings!$F$4,1,1)</f>
        <v>45230</v>
      </c>
      <c r="K6" s="292">
        <f ca="1">OFFSET(SQRMonthly!J2,0,SQRChartBindings!$F$4,1,1)</f>
        <v>45260</v>
      </c>
      <c r="L6" s="292">
        <f ca="1">OFFSET(SQRMonthly!K2,0,SQRChartBindings!$F$4,1,1)</f>
        <v>45291</v>
      </c>
      <c r="M6" s="292">
        <f ca="1">OFFSET(SQRMonthly!L2,0,SQRChartBindings!$F$4,1,1)</f>
        <v>45322</v>
      </c>
      <c r="N6" s="292">
        <f ca="1">OFFSET(SQRMonthly!M2,0,SQRChartBindings!$F$4,1,1)</f>
        <v>45351</v>
      </c>
      <c r="O6" s="292">
        <f ca="1">OFFSET(SQRMonthly!N2,0,SQRChartBindings!$F$4,1,1)</f>
        <v>45382</v>
      </c>
      <c r="P6" s="292">
        <f ca="1">OFFSET(SQRMonthly!O2,0,SQRChartBindings!$F$4,1,1)</f>
        <v>45412</v>
      </c>
      <c r="Q6" s="292">
        <f ca="1">OFFSET(SQRMonthly!P2,0,SQRChartBindings!$F$4,1,1)</f>
        <v>45443</v>
      </c>
      <c r="R6" s="292">
        <f ca="1">OFFSET(SQRMonthly!Q2,0,SQRChartBindings!$F$4,1,1)</f>
        <v>45473</v>
      </c>
      <c r="S6" s="292">
        <f ca="1">OFFSET(SQRMonthly!R2,0,SQRChartBindings!$F$4,1,1)</f>
        <v>45504</v>
      </c>
      <c r="T6" s="292">
        <f ca="1">OFFSET(SQRMonthly!S2,0,SQRChartBindings!$F$4,1,1)</f>
        <v>45535</v>
      </c>
      <c r="U6" s="292">
        <f ca="1">OFFSET(SQRMonthly!T2,0,SQRChartBindings!$F$4,1,1)</f>
        <v>45565</v>
      </c>
      <c r="V6" s="292">
        <f ca="1">OFFSET(SQRMonthly!U2,0,SQRChartBindings!$F$4,1,1)</f>
        <v>45596</v>
      </c>
      <c r="W6" s="292">
        <f ca="1">OFFSET(SQRMonthly!V2,0,SQRChartBindings!$F$4,1,1)</f>
        <v>45626</v>
      </c>
      <c r="X6" s="292">
        <f ca="1">OFFSET(SQRMonthly!W2,0,SQRChartBindings!$F$4,1,1)</f>
        <v>45657</v>
      </c>
      <c r="Y6" s="292">
        <f ca="1">OFFSET(SQRMonthly!X2,0,SQRChartBindings!$F$4,1,1)</f>
        <v>45688</v>
      </c>
      <c r="Z6" s="292">
        <f ca="1">OFFSET(SQRMonthly!Y2,0,SQRChartBindings!$F$4,1,1)</f>
        <v>45716</v>
      </c>
      <c r="AA6" s="292">
        <f ca="1">OFFSET(SQRMonthly!Z2,0,SQRChartBindings!$F$4,1,1)</f>
        <v>45747</v>
      </c>
      <c r="AB6" s="292">
        <f ca="1">OFFSET(SQRMonthly!AA2,0,SQRChartBindings!$F$4,1,1)</f>
        <v>45777</v>
      </c>
    </row>
    <row r="7" spans="1:30" ht="14.5">
      <c r="A7" s="292" t="s">
        <v>472</v>
      </c>
      <c r="B7" s="292">
        <v>11</v>
      </c>
      <c r="D7" s="292" t="s">
        <v>473</v>
      </c>
      <c r="E7" s="292">
        <f ca="1">OFFSET('Balance Sheet'!J11,0,SQRChartBindings!$F$4,1,1)</f>
        <v>-73700</v>
      </c>
      <c r="F7" s="292">
        <f ca="1">OFFSET('Balance Sheet'!K11,0,SQRChartBindings!$F$4,1,1)</f>
        <v>-147400</v>
      </c>
      <c r="G7" s="292">
        <f ca="1">OFFSET('Balance Sheet'!L11,0,SQRChartBindings!$F$4,1,1)</f>
        <v>-312700</v>
      </c>
      <c r="H7" s="292">
        <f ca="1">OFFSET('Balance Sheet'!M11,0,SQRChartBindings!$F$4,1,1)</f>
        <v>-492068.6425364801</v>
      </c>
      <c r="I7" s="292">
        <f ca="1">OFFSET('Balance Sheet'!N11,0,SQRChartBindings!$F$4,1,1)</f>
        <v>244162.71492703981</v>
      </c>
      <c r="J7" s="292">
        <f ca="1">OFFSET('Balance Sheet'!O11,0,SQRChartBindings!$F$4,1,1)</f>
        <v>484015.64376082883</v>
      </c>
      <c r="K7" s="292">
        <f ca="1">OFFSET('Balance Sheet'!P11,0,SQRChartBindings!$F$4,1,1)</f>
        <v>715562.10112999263</v>
      </c>
      <c r="L7" s="292">
        <f ca="1">OFFSET('Balance Sheet'!Q11,0,SQRChartBindings!$F$4,1,1)</f>
        <v>959708.5584991565</v>
      </c>
      <c r="M7" s="292">
        <f ca="1">OFFSET('Balance Sheet'!R11,0,SQRChartBindings!$F$4,1,1)</f>
        <v>2188861.9002136067</v>
      </c>
      <c r="N7" s="292">
        <f ca="1">OFFSET('Balance Sheet'!S11,0,SQRChartBindings!$F$4,1,1)</f>
        <v>3146306.8046398209</v>
      </c>
      <c r="O7" s="292">
        <f ca="1">OFFSET('Balance Sheet'!T11,0,SQRChartBindings!$F$4,1,1)</f>
        <v>3599751.7090660352</v>
      </c>
      <c r="P7" s="292">
        <f ca="1">OFFSET('Balance Sheet'!U11,0,SQRChartBindings!$F$4,1,1)</f>
        <v>2472193.3165630135</v>
      </c>
      <c r="Q7" s="292">
        <f ca="1">OFFSET('Balance Sheet'!V11,0,SQRChartBindings!$F$4,1,1)</f>
        <v>6943207.3417660166</v>
      </c>
      <c r="R7" s="292">
        <f ca="1">OFFSET('Balance Sheet'!W11,0,SQRChartBindings!$F$4,1,1)</f>
        <v>6653668.6086065518</v>
      </c>
      <c r="S7" s="292">
        <f ca="1">OFFSET('Balance Sheet'!X11,0,SQRChartBindings!$F$4,1,1)</f>
        <v>9580244.5202764049</v>
      </c>
      <c r="T7" s="292">
        <f ca="1">OFFSET('Balance Sheet'!Y11,0,SQRChartBindings!$F$4,1,1)</f>
        <v>12231591.544738874</v>
      </c>
      <c r="U7" s="292">
        <f ca="1">OFFSET('Balance Sheet'!Z11,0,SQRChartBindings!$F$4,1,1)</f>
        <v>13705908.012009982</v>
      </c>
      <c r="V7" s="292">
        <f ca="1">OFFSET('Balance Sheet'!AA11,0,SQRChartBindings!$F$4,1,1)</f>
        <v>17588311.54576759</v>
      </c>
      <c r="W7" s="292">
        <f ca="1">OFFSET('Balance Sheet'!AB11,0,SQRChartBindings!$F$4,1,1)</f>
        <v>17734708.372612521</v>
      </c>
      <c r="X7" s="292">
        <f ca="1">OFFSET('Balance Sheet'!AC11,0,SQRChartBindings!$F$4,1,1)</f>
        <v>17735277.780543208</v>
      </c>
      <c r="Y7" s="292">
        <f ca="1">OFFSET('Balance Sheet'!AD11,0,SQRChartBindings!$F$4,1,1)</f>
        <v>19157629.263761412</v>
      </c>
      <c r="Z7" s="292">
        <f ca="1">OFFSET('Balance Sheet'!AE11,0,SQRChartBindings!$F$4,1,1)</f>
        <v>19973519.934109382</v>
      </c>
      <c r="AA7" s="292">
        <f ca="1">OFFSET('Balance Sheet'!AF11,0,SQRChartBindings!$F$4,1,1)</f>
        <v>20260935.879779249</v>
      </c>
      <c r="AB7" s="292">
        <f ca="1">OFFSET('Balance Sheet'!AG11,0,SQRChartBindings!$F$4,1,1)</f>
        <v>20335597.073989335</v>
      </c>
    </row>
    <row r="8" spans="1:30" ht="14.5">
      <c r="A8" s="292" t="s">
        <v>472</v>
      </c>
      <c r="B8" s="292">
        <v>17</v>
      </c>
      <c r="D8" s="292" t="s">
        <v>474</v>
      </c>
      <c r="E8" s="292">
        <f ca="1">OFFSET('Balance Sheet'!J17,0,SQRChartBindings!$F$4,1,1)</f>
        <v>0</v>
      </c>
      <c r="F8" s="292">
        <f ca="1">OFFSET('Balance Sheet'!K17,0,SQRChartBindings!$F$4,1,1)</f>
        <v>0</v>
      </c>
      <c r="G8" s="292">
        <f ca="1">OFFSET('Balance Sheet'!L17,0,SQRChartBindings!$F$4,1,1)</f>
        <v>0</v>
      </c>
      <c r="H8" s="292">
        <f ca="1">OFFSET('Balance Sheet'!M17,0,SQRChartBindings!$F$4,1,1)</f>
        <v>0</v>
      </c>
      <c r="I8" s="292">
        <f ca="1">OFFSET('Balance Sheet'!N17,0,SQRChartBindings!$F$4,1,1)</f>
        <v>0</v>
      </c>
      <c r="J8" s="292">
        <f ca="1">OFFSET('Balance Sheet'!O17,0,SQRChartBindings!$F$4,1,1)</f>
        <v>0</v>
      </c>
      <c r="K8" s="292">
        <f ca="1">OFFSET('Balance Sheet'!P17,0,SQRChartBindings!$F$4,1,1)</f>
        <v>0</v>
      </c>
      <c r="L8" s="292">
        <f ca="1">OFFSET('Balance Sheet'!Q17,0,SQRChartBindings!$F$4,1,1)</f>
        <v>0</v>
      </c>
      <c r="M8" s="292">
        <f ca="1">OFFSET('Balance Sheet'!R17,0,SQRChartBindings!$F$4,1,1)</f>
        <v>0</v>
      </c>
      <c r="N8" s="292">
        <f ca="1">OFFSET('Balance Sheet'!S17,0,SQRChartBindings!$F$4,1,1)</f>
        <v>0</v>
      </c>
      <c r="O8" s="292">
        <f ca="1">OFFSET('Balance Sheet'!T17,0,SQRChartBindings!$F$4,1,1)</f>
        <v>0</v>
      </c>
      <c r="P8" s="292">
        <f ca="1">OFFSET('Balance Sheet'!U17,0,SQRChartBindings!$F$4,1,1)</f>
        <v>0</v>
      </c>
      <c r="Q8" s="292">
        <f ca="1">OFFSET('Balance Sheet'!V17,0,SQRChartBindings!$F$4,1,1)</f>
        <v>0</v>
      </c>
      <c r="R8" s="292">
        <f ca="1">OFFSET('Balance Sheet'!W17,0,SQRChartBindings!$F$4,1,1)</f>
        <v>0</v>
      </c>
      <c r="S8" s="292">
        <f ca="1">OFFSET('Balance Sheet'!X17,0,SQRChartBindings!$F$4,1,1)</f>
        <v>0</v>
      </c>
      <c r="T8" s="292">
        <f ca="1">OFFSET('Balance Sheet'!Y17,0,SQRChartBindings!$F$4,1,1)</f>
        <v>0</v>
      </c>
      <c r="U8" s="292">
        <f ca="1">OFFSET('Balance Sheet'!Z17,0,SQRChartBindings!$F$4,1,1)</f>
        <v>0</v>
      </c>
      <c r="V8" s="292">
        <f ca="1">OFFSET('Balance Sheet'!AA17,0,SQRChartBindings!$F$4,1,1)</f>
        <v>0</v>
      </c>
      <c r="W8" s="292">
        <f ca="1">OFFSET('Balance Sheet'!AB17,0,SQRChartBindings!$F$4,1,1)</f>
        <v>0</v>
      </c>
      <c r="X8" s="292">
        <f ca="1">OFFSET('Balance Sheet'!AC17,0,SQRChartBindings!$F$4,1,1)</f>
        <v>0</v>
      </c>
      <c r="Y8" s="292">
        <f ca="1">OFFSET('Balance Sheet'!AD17,0,SQRChartBindings!$F$4,1,1)</f>
        <v>0</v>
      </c>
      <c r="Z8" s="292">
        <f ca="1">OFFSET('Balance Sheet'!AE17,0,SQRChartBindings!$F$4,1,1)</f>
        <v>0</v>
      </c>
      <c r="AA8" s="292">
        <f ca="1">OFFSET('Balance Sheet'!AF17,0,SQRChartBindings!$F$4,1,1)</f>
        <v>0</v>
      </c>
      <c r="AB8" s="292">
        <f ca="1">OFFSET('Balance Sheet'!AG17,0,SQRChartBindings!$F$4,1,1)</f>
        <v>0</v>
      </c>
    </row>
    <row r="9" spans="1:30" ht="14.5">
      <c r="A9" s="292" t="s">
        <v>472</v>
      </c>
      <c r="B9" s="292">
        <v>16</v>
      </c>
      <c r="D9" s="292" t="s">
        <v>475</v>
      </c>
      <c r="E9" s="292">
        <f ca="1">OFFSET('Balance Sheet'!J16,0,SQRChartBindings!$F$4,1,1)</f>
        <v>0</v>
      </c>
      <c r="F9" s="292">
        <f ca="1">OFFSET('Balance Sheet'!K16,0,SQRChartBindings!$F$4,1,1)</f>
        <v>0</v>
      </c>
      <c r="G9" s="292">
        <f ca="1">OFFSET('Balance Sheet'!L16,0,SQRChartBindings!$F$4,1,1)</f>
        <v>0</v>
      </c>
      <c r="H9" s="292">
        <f ca="1">OFFSET('Balance Sheet'!M16,0,SQRChartBindings!$F$4,1,1)</f>
        <v>0</v>
      </c>
      <c r="I9" s="292">
        <f ca="1">OFFSET('Balance Sheet'!N16,0,SQRChartBindings!$F$4,1,1)</f>
        <v>0</v>
      </c>
      <c r="J9" s="292">
        <f ca="1">OFFSET('Balance Sheet'!O16,0,SQRChartBindings!$F$4,1,1)</f>
        <v>0</v>
      </c>
      <c r="K9" s="292">
        <f ca="1">OFFSET('Balance Sheet'!P16,0,SQRChartBindings!$F$4,1,1)</f>
        <v>0</v>
      </c>
      <c r="L9" s="292">
        <f ca="1">OFFSET('Balance Sheet'!Q16,0,SQRChartBindings!$F$4,1,1)</f>
        <v>0</v>
      </c>
      <c r="M9" s="292">
        <f ca="1">OFFSET('Balance Sheet'!R16,0,SQRChartBindings!$F$4,1,1)</f>
        <v>0</v>
      </c>
      <c r="N9" s="292">
        <f ca="1">OFFSET('Balance Sheet'!S16,0,SQRChartBindings!$F$4,1,1)</f>
        <v>0</v>
      </c>
      <c r="O9" s="292">
        <f ca="1">OFFSET('Balance Sheet'!T16,0,SQRChartBindings!$F$4,1,1)</f>
        <v>0</v>
      </c>
      <c r="P9" s="292">
        <f ca="1">OFFSET('Balance Sheet'!U16,0,SQRChartBindings!$F$4,1,1)</f>
        <v>0</v>
      </c>
      <c r="Q9" s="292">
        <f ca="1">OFFSET('Balance Sheet'!V16,0,SQRChartBindings!$F$4,1,1)</f>
        <v>0</v>
      </c>
      <c r="R9" s="292">
        <f ca="1">OFFSET('Balance Sheet'!W16,0,SQRChartBindings!$F$4,1,1)</f>
        <v>0</v>
      </c>
      <c r="S9" s="292">
        <f ca="1">OFFSET('Balance Sheet'!X16,0,SQRChartBindings!$F$4,1,1)</f>
        <v>0</v>
      </c>
      <c r="T9" s="292">
        <f ca="1">OFFSET('Balance Sheet'!Y16,0,SQRChartBindings!$F$4,1,1)</f>
        <v>0</v>
      </c>
      <c r="U9" s="292">
        <f ca="1">OFFSET('Balance Sheet'!Z16,0,SQRChartBindings!$F$4,1,1)</f>
        <v>0</v>
      </c>
      <c r="V9" s="292">
        <f ca="1">OFFSET('Balance Sheet'!AA16,0,SQRChartBindings!$F$4,1,1)</f>
        <v>0</v>
      </c>
      <c r="W9" s="292">
        <f ca="1">OFFSET('Balance Sheet'!AB16,0,SQRChartBindings!$F$4,1,1)</f>
        <v>0</v>
      </c>
      <c r="X9" s="292">
        <f ca="1">OFFSET('Balance Sheet'!AC16,0,SQRChartBindings!$F$4,1,1)</f>
        <v>0</v>
      </c>
      <c r="Y9" s="292">
        <f ca="1">OFFSET('Balance Sheet'!AD16,0,SQRChartBindings!$F$4,1,1)</f>
        <v>0</v>
      </c>
      <c r="Z9" s="292">
        <f ca="1">OFFSET('Balance Sheet'!AE16,0,SQRChartBindings!$F$4,1,1)</f>
        <v>0</v>
      </c>
      <c r="AA9" s="292">
        <f ca="1">OFFSET('Balance Sheet'!AF16,0,SQRChartBindings!$F$4,1,1)</f>
        <v>0</v>
      </c>
      <c r="AB9" s="292">
        <f ca="1">OFFSET('Balance Sheet'!AG16,0,SQRChartBindings!$F$4,1,1)</f>
        <v>0</v>
      </c>
    </row>
    <row r="10" spans="1:30" ht="14.5">
      <c r="A10" s="292" t="s">
        <v>472</v>
      </c>
      <c r="B10" s="292">
        <v>18</v>
      </c>
      <c r="D10" s="292" t="s">
        <v>476</v>
      </c>
      <c r="E10" s="292">
        <f ca="1">OFFSET('Balance Sheet'!J18,0,SQRChartBindings!$F$4,1,1)</f>
        <v>0</v>
      </c>
      <c r="F10" s="292">
        <f ca="1">OFFSET('Balance Sheet'!K18,0,SQRChartBindings!$F$4,1,1)</f>
        <v>0</v>
      </c>
      <c r="G10" s="292">
        <f ca="1">OFFSET('Balance Sheet'!L18,0,SQRChartBindings!$F$4,1,1)</f>
        <v>0</v>
      </c>
      <c r="H10" s="292">
        <f ca="1">OFFSET('Balance Sheet'!M18,0,SQRChartBindings!$F$4,1,1)</f>
        <v>0</v>
      </c>
      <c r="I10" s="292">
        <f ca="1">OFFSET('Balance Sheet'!N18,0,SQRChartBindings!$F$4,1,1)</f>
        <v>0</v>
      </c>
      <c r="J10" s="292">
        <f ca="1">OFFSET('Balance Sheet'!O18,0,SQRChartBindings!$F$4,1,1)</f>
        <v>0</v>
      </c>
      <c r="K10" s="292">
        <f ca="1">OFFSET('Balance Sheet'!P18,0,SQRChartBindings!$F$4,1,1)</f>
        <v>0</v>
      </c>
      <c r="L10" s="292">
        <f ca="1">OFFSET('Balance Sheet'!Q18,0,SQRChartBindings!$F$4,1,1)</f>
        <v>0</v>
      </c>
      <c r="M10" s="292">
        <f ca="1">OFFSET('Balance Sheet'!R18,0,SQRChartBindings!$F$4,1,1)</f>
        <v>0</v>
      </c>
      <c r="N10" s="292">
        <f ca="1">OFFSET('Balance Sheet'!S18,0,SQRChartBindings!$F$4,1,1)</f>
        <v>0</v>
      </c>
      <c r="O10" s="292">
        <f ca="1">OFFSET('Balance Sheet'!T18,0,SQRChartBindings!$F$4,1,1)</f>
        <v>0</v>
      </c>
      <c r="P10" s="292">
        <f ca="1">OFFSET('Balance Sheet'!U18,0,SQRChartBindings!$F$4,1,1)</f>
        <v>0</v>
      </c>
      <c r="Q10" s="292">
        <f ca="1">OFFSET('Balance Sheet'!V18,0,SQRChartBindings!$F$4,1,1)</f>
        <v>0</v>
      </c>
      <c r="R10" s="292">
        <f ca="1">OFFSET('Balance Sheet'!W18,0,SQRChartBindings!$F$4,1,1)</f>
        <v>0</v>
      </c>
      <c r="S10" s="292">
        <f ca="1">OFFSET('Balance Sheet'!X18,0,SQRChartBindings!$F$4,1,1)</f>
        <v>0</v>
      </c>
      <c r="T10" s="292">
        <f ca="1">OFFSET('Balance Sheet'!Y18,0,SQRChartBindings!$F$4,1,1)</f>
        <v>0</v>
      </c>
      <c r="U10" s="292">
        <f ca="1">OFFSET('Balance Sheet'!Z18,0,SQRChartBindings!$F$4,1,1)</f>
        <v>0</v>
      </c>
      <c r="V10" s="292">
        <f ca="1">OFFSET('Balance Sheet'!AA18,0,SQRChartBindings!$F$4,1,1)</f>
        <v>0</v>
      </c>
      <c r="W10" s="292">
        <f ca="1">OFFSET('Balance Sheet'!AB18,0,SQRChartBindings!$F$4,1,1)</f>
        <v>0</v>
      </c>
      <c r="X10" s="292">
        <f ca="1">OFFSET('Balance Sheet'!AC18,0,SQRChartBindings!$F$4,1,1)</f>
        <v>0</v>
      </c>
      <c r="Y10" s="292">
        <f ca="1">OFFSET('Balance Sheet'!AD18,0,SQRChartBindings!$F$4,1,1)</f>
        <v>0</v>
      </c>
      <c r="Z10" s="292">
        <f ca="1">OFFSET('Balance Sheet'!AE18,0,SQRChartBindings!$F$4,1,1)</f>
        <v>0</v>
      </c>
      <c r="AA10" s="292">
        <f ca="1">OFFSET('Balance Sheet'!AF18,0,SQRChartBindings!$F$4,1,1)</f>
        <v>0</v>
      </c>
      <c r="AB10" s="292">
        <f ca="1">OFFSET('Balance Sheet'!AG18,0,SQRChartBindings!$F$4,1,1)</f>
        <v>0</v>
      </c>
    </row>
    <row r="11" spans="1:30" ht="14.5">
      <c r="B11" s="292"/>
      <c r="E11" s="292"/>
      <c r="F11" s="292"/>
      <c r="G11" s="292"/>
      <c r="H11" s="292"/>
      <c r="I11" s="292"/>
      <c r="J11" s="292"/>
      <c r="K11" s="292"/>
      <c r="L11" s="292"/>
      <c r="M11" s="292"/>
      <c r="N11" s="292"/>
      <c r="O11" s="292"/>
      <c r="P11" s="292"/>
      <c r="Q11" s="292"/>
      <c r="R11" s="292"/>
      <c r="S11" s="292"/>
      <c r="T11" s="292"/>
      <c r="U11" s="292"/>
      <c r="V11" s="292"/>
      <c r="W11" s="292"/>
      <c r="X11" s="292"/>
      <c r="Y11" s="292"/>
      <c r="Z11" s="292"/>
      <c r="AA11" s="292"/>
      <c r="AB11" s="292"/>
    </row>
    <row r="12" spans="1:30" ht="14.5">
      <c r="A12" s="292" t="s">
        <v>477</v>
      </c>
      <c r="B12" s="292">
        <v>8</v>
      </c>
      <c r="D12" s="292" t="s">
        <v>174</v>
      </c>
      <c r="E12" s="292">
        <f ca="1">OFFSET('Income Statement'!J8,0,SQRChartBindings!$F$4,1,1)</f>
        <v>0</v>
      </c>
      <c r="F12" s="292">
        <f ca="1">OFFSET('Income Statement'!K8,0,SQRChartBindings!$F$4,1,1)</f>
        <v>0</v>
      </c>
      <c r="G12" s="292">
        <f ca="1">OFFSET('Income Statement'!L8,0,SQRChartBindings!$F$4,1,1)</f>
        <v>70000</v>
      </c>
      <c r="H12" s="292">
        <f ca="1">OFFSET('Income Statement'!M8,0,SQRChartBindings!$F$4,1,1)</f>
        <v>105000</v>
      </c>
      <c r="I12" s="292">
        <f ca="1">OFFSET('Income Statement'!N8,0,SQRChartBindings!$F$4,1,1)</f>
        <v>140000</v>
      </c>
      <c r="J12" s="292">
        <f ca="1">OFFSET('Income Statement'!O8,0,SQRChartBindings!$F$4,1,1)</f>
        <v>175000</v>
      </c>
      <c r="K12" s="292">
        <f ca="1">OFFSET('Income Statement'!P8,0,SQRChartBindings!$F$4,1,1)</f>
        <v>350000</v>
      </c>
      <c r="L12" s="292">
        <f ca="1">OFFSET('Income Statement'!Q8,0,SQRChartBindings!$F$4,1,1)</f>
        <v>455000</v>
      </c>
      <c r="M12" s="292">
        <f ca="1">OFFSET('Income Statement'!R8,0,SQRChartBindings!$F$4,1,1)</f>
        <v>525000</v>
      </c>
      <c r="N12" s="292">
        <f ca="1">OFFSET('Income Statement'!S8,0,SQRChartBindings!$F$4,1,1)</f>
        <v>525000</v>
      </c>
      <c r="O12" s="292">
        <f ca="1">OFFSET('Income Statement'!T8,0,SQRChartBindings!$F$4,1,1)</f>
        <v>875000</v>
      </c>
      <c r="P12" s="292">
        <f ca="1">OFFSET('Income Statement'!U8,0,SQRChartBindings!$F$4,1,1)</f>
        <v>875000</v>
      </c>
      <c r="Q12" s="292">
        <f ca="1">OFFSET('Income Statement'!V8,0,SQRChartBindings!$F$4,1,1)</f>
        <v>1225000</v>
      </c>
      <c r="R12" s="292">
        <f ca="1">OFFSET('Income Statement'!W8,0,SQRChartBindings!$F$4,1,1)</f>
        <v>1515406.0415128767</v>
      </c>
      <c r="S12" s="292">
        <f ca="1">OFFSET('Income Statement'!X8,0,SQRChartBindings!$F$4,1,1)</f>
        <v>1575000</v>
      </c>
      <c r="T12" s="292">
        <f ca="1">OFFSET('Income Statement'!Y8,0,SQRChartBindings!$F$4,1,1)</f>
        <v>1919948.1450924932</v>
      </c>
      <c r="U12" s="292">
        <f ca="1">OFFSET('Income Statement'!Z8,0,SQRChartBindings!$F$4,1,1)</f>
        <v>1925000</v>
      </c>
      <c r="V12" s="292">
        <f ca="1">OFFSET('Income Statement'!AA8,0,SQRChartBindings!$F$4,1,1)</f>
        <v>1925000</v>
      </c>
      <c r="W12" s="292">
        <f ca="1">OFFSET('Income Statement'!AB8,0,SQRChartBindings!$F$4,1,1)</f>
        <v>1925000</v>
      </c>
      <c r="X12" s="292">
        <f ca="1">OFFSET('Income Statement'!AC8,0,SQRChartBindings!$F$4,1,1)</f>
        <v>1925000</v>
      </c>
      <c r="Y12" s="292">
        <f ca="1">OFFSET('Income Statement'!AD8,0,SQRChartBindings!$F$4,1,1)</f>
        <v>1925000</v>
      </c>
      <c r="Z12" s="292">
        <f ca="1">OFFSET('Income Statement'!AE8,0,SQRChartBindings!$F$4,1,1)</f>
        <v>2100000</v>
      </c>
      <c r="AA12" s="292">
        <f ca="1">OFFSET('Income Statement'!AF8,0,SQRChartBindings!$F$4,1,1)</f>
        <v>2275000</v>
      </c>
      <c r="AB12" s="292">
        <f ca="1">OFFSET('Income Statement'!AG8,0,SQRChartBindings!$F$4,1,1)</f>
        <v>2450000</v>
      </c>
    </row>
    <row r="13" spans="1:30" ht="14.5">
      <c r="A13" s="292" t="s">
        <v>477</v>
      </c>
      <c r="B13" s="292">
        <v>11</v>
      </c>
      <c r="D13" s="292" t="s">
        <v>180</v>
      </c>
      <c r="E13" s="292">
        <f ca="1">OFFSET('Income Statement'!J11,0,SQRChartBindings!$F$4,1,1)</f>
        <v>-67000</v>
      </c>
      <c r="F13" s="292">
        <f ca="1">OFFSET('Income Statement'!K11,0,SQRChartBindings!$F$4,1,1)</f>
        <v>-67000</v>
      </c>
      <c r="G13" s="292">
        <f ca="1">OFFSET('Income Statement'!L11,0,SQRChartBindings!$F$4,1,1)</f>
        <v>3000</v>
      </c>
      <c r="H13" s="292">
        <f ca="1">OFFSET('Income Statement'!M11,0,SQRChartBindings!$F$4,1,1)</f>
        <v>37392.143148654483</v>
      </c>
      <c r="I13" s="292">
        <f ca="1">OFFSET('Income Statement'!N11,0,SQRChartBindings!$F$4,1,1)</f>
        <v>-11607.856851345517</v>
      </c>
      <c r="J13" s="292">
        <f ca="1">OFFSET('Income Statement'!O11,0,SQRChartBindings!$F$4,1,1)</f>
        <v>23392.143148654483</v>
      </c>
      <c r="K13" s="292">
        <f ca="1">OFFSET('Income Statement'!P11,0,SQRChartBindings!$F$4,1,1)</f>
        <v>197769.50669923986</v>
      </c>
      <c r="L13" s="292">
        <f ca="1">OFFSET('Income Statement'!Q11,0,SQRChartBindings!$F$4,1,1)</f>
        <v>218769.50669923986</v>
      </c>
      <c r="M13" s="292">
        <f ca="1">OFFSET('Income Statement'!R11,0,SQRChartBindings!$F$4,1,1)</f>
        <v>288769.50669923984</v>
      </c>
      <c r="N13" s="292">
        <f ca="1">OFFSET('Income Statement'!S11,0,SQRChartBindings!$F$4,1,1)</f>
        <v>288131.73129655828</v>
      </c>
      <c r="O13" s="292">
        <f ca="1">OFFSET('Income Statement'!T11,0,SQRChartBindings!$F$4,1,1)</f>
        <v>638131.73129655828</v>
      </c>
      <c r="P13" s="292">
        <f ca="1">OFFSET('Income Statement'!U11,0,SQRChartBindings!$F$4,1,1)</f>
        <v>638131.73129655828</v>
      </c>
      <c r="Q13" s="292">
        <f ca="1">OFFSET('Income Statement'!V11,0,SQRChartBindings!$F$4,1,1)</f>
        <v>975012.75018454797</v>
      </c>
      <c r="R13" s="292">
        <f ca="1">OFFSET('Income Statement'!W11,0,SQRChartBindings!$F$4,1,1)</f>
        <v>1252189.0113679084</v>
      </c>
      <c r="S13" s="292">
        <f ca="1">OFFSET('Income Statement'!X11,0,SQRChartBindings!$F$4,1,1)</f>
        <v>1297766.5058494285</v>
      </c>
      <c r="T13" s="292">
        <f ca="1">OFFSET('Income Statement'!Y11,0,SQRChartBindings!$F$4,1,1)</f>
        <v>1627193.3349507609</v>
      </c>
      <c r="U13" s="292">
        <f ca="1">OFFSET('Income Statement'!Z11,0,SQRChartBindings!$F$4,1,1)</f>
        <v>1616512.2409604841</v>
      </c>
      <c r="V13" s="292">
        <f ca="1">OFFSET('Income Statement'!AA11,0,SQRChartBindings!$F$4,1,1)</f>
        <v>1599843.7622378413</v>
      </c>
      <c r="W13" s="292">
        <f ca="1">OFFSET('Income Statement'!AB11,0,SQRChartBindings!$F$4,1,1)</f>
        <v>1581500.1056152987</v>
      </c>
      <c r="X13" s="292">
        <f ca="1">OFFSET('Income Statement'!AC11,0,SQRChartBindings!$F$4,1,1)</f>
        <v>1562790.3708460801</v>
      </c>
      <c r="Y13" s="292">
        <f ca="1">OFFSET('Income Statement'!AD11,0,SQRChartBindings!$F$4,1,1)</f>
        <v>1542968.0973528419</v>
      </c>
      <c r="Z13" s="292">
        <f ca="1">OFFSET('Income Statement'!AE11,0,SQRChartBindings!$F$4,1,1)</f>
        <v>1696264.245770883</v>
      </c>
      <c r="AA13" s="292">
        <f ca="1">OFFSET('Income Statement'!AF11,0,SQRChartBindings!$F$4,1,1)</f>
        <v>1849014.4960635144</v>
      </c>
      <c r="AB13" s="292">
        <f ca="1">OFFSET('Income Statement'!AG11,0,SQRChartBindings!$F$4,1,1)</f>
        <v>2000441.7073898257</v>
      </c>
    </row>
    <row r="14" spans="1:30" ht="14.5">
      <c r="A14" s="292" t="s">
        <v>477</v>
      </c>
      <c r="B14" s="292">
        <v>14</v>
      </c>
      <c r="D14" s="292" t="s">
        <v>63</v>
      </c>
      <c r="E14" s="292">
        <f ca="1">OFFSET('Income Statement'!J14,0,SQRChartBindings!$F$4,1,1)</f>
        <v>-67000</v>
      </c>
      <c r="F14" s="292">
        <f ca="1">OFFSET('Income Statement'!K14,0,SQRChartBindings!$F$4,1,1)</f>
        <v>-74291.666666666672</v>
      </c>
      <c r="G14" s="292">
        <f ca="1">OFFSET('Income Statement'!L14,0,SQRChartBindings!$F$4,1,1)</f>
        <v>10291.666666666668</v>
      </c>
      <c r="H14" s="292">
        <f ca="1">OFFSET('Income Statement'!M14,0,SQRChartBindings!$F$4,1,1)</f>
        <v>44683.809815321147</v>
      </c>
      <c r="I14" s="292">
        <f ca="1">OFFSET('Income Statement'!N14,0,SQRChartBindings!$F$4,1,1)</f>
        <v>-4316.1901846788505</v>
      </c>
      <c r="J14" s="292">
        <f ca="1">OFFSET('Income Statement'!O14,0,SQRChartBindings!$F$4,1,1)</f>
        <v>1517.1431486544825</v>
      </c>
      <c r="K14" s="292">
        <f ca="1">OFFSET('Income Statement'!P14,0,SQRChartBindings!$F$4,1,1)</f>
        <v>190477.84003257321</v>
      </c>
      <c r="L14" s="292">
        <f ca="1">OFFSET('Income Statement'!Q14,0,SQRChartBindings!$F$4,1,1)</f>
        <v>196894.50669923986</v>
      </c>
      <c r="M14" s="292">
        <f ca="1">OFFSET('Income Statement'!R14,0,SQRChartBindings!$F$4,1,1)</f>
        <v>281477.84003257315</v>
      </c>
      <c r="N14" s="292">
        <f ca="1">OFFSET('Income Statement'!S14,0,SQRChartBindings!$F$4,1,1)</f>
        <v>251673.39796322494</v>
      </c>
      <c r="O14" s="292">
        <f ca="1">OFFSET('Income Statement'!T14,0,SQRChartBindings!$F$4,1,1)</f>
        <v>601673.39796322491</v>
      </c>
      <c r="P14" s="292">
        <f ca="1">OFFSET('Income Statement'!U14,0,SQRChartBindings!$F$4,1,1)</f>
        <v>587090.06462989165</v>
      </c>
      <c r="Q14" s="292">
        <f ca="1">OFFSET('Income Statement'!V14,0,SQRChartBindings!$F$4,1,1)</f>
        <v>909387.75018454797</v>
      </c>
      <c r="R14" s="292">
        <f ca="1">OFFSET('Income Statement'!W14,0,SQRChartBindings!$F$4,1,1)</f>
        <v>1186564.0113679084</v>
      </c>
      <c r="S14" s="292">
        <f ca="1">OFFSET('Income Statement'!X14,0,SQRChartBindings!$F$4,1,1)</f>
        <v>1224849.8391827617</v>
      </c>
      <c r="T14" s="292">
        <f ca="1">OFFSET('Income Statement'!Y14,0,SQRChartBindings!$F$4,1,1)</f>
        <v>1554276.6682840942</v>
      </c>
      <c r="U14" s="292">
        <f ca="1">OFFSET('Income Statement'!Z14,0,SQRChartBindings!$F$4,1,1)</f>
        <v>1543595.5742938174</v>
      </c>
      <c r="V14" s="292">
        <f ca="1">OFFSET('Income Statement'!AA14,0,SQRChartBindings!$F$4,1,1)</f>
        <v>1534218.7622378413</v>
      </c>
      <c r="W14" s="292">
        <f ca="1">OFFSET('Income Statement'!AB14,0,SQRChartBindings!$F$4,1,1)</f>
        <v>1508583.438948632</v>
      </c>
      <c r="X14" s="292">
        <f ca="1">OFFSET('Income Statement'!AC14,0,SQRChartBindings!$F$4,1,1)</f>
        <v>1497165.3708460801</v>
      </c>
      <c r="Y14" s="292">
        <f ca="1">OFFSET('Income Statement'!AD14,0,SQRChartBindings!$F$4,1,1)</f>
        <v>1462759.7640195086</v>
      </c>
      <c r="Z14" s="292">
        <f ca="1">OFFSET('Income Statement'!AE14,0,SQRChartBindings!$F$4,1,1)</f>
        <v>1616055.9124375498</v>
      </c>
      <c r="AA14" s="292">
        <f ca="1">OFFSET('Income Statement'!AF14,0,SQRChartBindings!$F$4,1,1)</f>
        <v>1761514.4960635144</v>
      </c>
      <c r="AB14" s="292">
        <f ca="1">OFFSET('Income Statement'!AG14,0,SQRChartBindings!$F$4,1,1)</f>
        <v>1898358.3740564925</v>
      </c>
    </row>
    <row r="15" spans="1:30" ht="14.5">
      <c r="A15" s="292" t="s">
        <v>477</v>
      </c>
      <c r="B15" s="292">
        <v>19</v>
      </c>
      <c r="D15" s="292" t="s">
        <v>478</v>
      </c>
      <c r="E15" s="292">
        <f ca="1">OFFSET('Income Statement'!J19,0,SQRChartBindings!$F$4,1,1)</f>
        <v>-67000</v>
      </c>
      <c r="F15" s="292">
        <f ca="1">OFFSET('Income Statement'!K19,0,SQRChartBindings!$F$4,1,1)</f>
        <v>-74291.666666666672</v>
      </c>
      <c r="G15" s="292">
        <f ca="1">OFFSET('Income Statement'!L19,0,SQRChartBindings!$F$4,1,1)</f>
        <v>10291.666666666668</v>
      </c>
      <c r="H15" s="292">
        <f ca="1">OFFSET('Income Statement'!M19,0,SQRChartBindings!$F$4,1,1)</f>
        <v>44683.809815321147</v>
      </c>
      <c r="I15" s="292">
        <f ca="1">OFFSET('Income Statement'!N19,0,SQRChartBindings!$F$4,1,1)</f>
        <v>-4316.1901846788505</v>
      </c>
      <c r="J15" s="292">
        <f ca="1">OFFSET('Income Statement'!O19,0,SQRChartBindings!$F$4,1,1)</f>
        <v>1517.1431486544825</v>
      </c>
      <c r="K15" s="292">
        <f ca="1">OFFSET('Income Statement'!P19,0,SQRChartBindings!$F$4,1,1)</f>
        <v>190477.84003257321</v>
      </c>
      <c r="L15" s="292">
        <f ca="1">OFFSET('Income Statement'!Q19,0,SQRChartBindings!$F$4,1,1)</f>
        <v>196894.50669923986</v>
      </c>
      <c r="M15" s="292">
        <f ca="1">OFFSET('Income Statement'!R19,0,SQRChartBindings!$F$4,1,1)</f>
        <v>281477.84003257315</v>
      </c>
      <c r="N15" s="292">
        <f ca="1">OFFSET('Income Statement'!S19,0,SQRChartBindings!$F$4,1,1)</f>
        <v>251673.39796322494</v>
      </c>
      <c r="O15" s="292">
        <f ca="1">OFFSET('Income Statement'!T19,0,SQRChartBindings!$F$4,1,1)</f>
        <v>601673.39796322491</v>
      </c>
      <c r="P15" s="292">
        <f ca="1">OFFSET('Income Statement'!U19,0,SQRChartBindings!$F$4,1,1)</f>
        <v>587090.06462989165</v>
      </c>
      <c r="Q15" s="292">
        <f ca="1">OFFSET('Income Statement'!V19,0,SQRChartBindings!$F$4,1,1)</f>
        <v>909387.75018454797</v>
      </c>
      <c r="R15" s="292">
        <f ca="1">OFFSET('Income Statement'!W19,0,SQRChartBindings!$F$4,1,1)</f>
        <v>1186564.0113679084</v>
      </c>
      <c r="S15" s="292">
        <f ca="1">OFFSET('Income Statement'!X19,0,SQRChartBindings!$F$4,1,1)</f>
        <v>1224849.8391827617</v>
      </c>
      <c r="T15" s="292">
        <f ca="1">OFFSET('Income Statement'!Y19,0,SQRChartBindings!$F$4,1,1)</f>
        <v>1554276.6682840942</v>
      </c>
      <c r="U15" s="292">
        <f ca="1">OFFSET('Income Statement'!Z19,0,SQRChartBindings!$F$4,1,1)</f>
        <v>1543595.5742938174</v>
      </c>
      <c r="V15" s="292">
        <f ca="1">OFFSET('Income Statement'!AA19,0,SQRChartBindings!$F$4,1,1)</f>
        <v>1534218.7622378413</v>
      </c>
      <c r="W15" s="292">
        <f ca="1">OFFSET('Income Statement'!AB19,0,SQRChartBindings!$F$4,1,1)</f>
        <v>1508583.438948632</v>
      </c>
      <c r="X15" s="292">
        <f ca="1">OFFSET('Income Statement'!AC19,0,SQRChartBindings!$F$4,1,1)</f>
        <v>1497165.3708460801</v>
      </c>
      <c r="Y15" s="292">
        <f ca="1">OFFSET('Income Statement'!AD19,0,SQRChartBindings!$F$4,1,1)</f>
        <v>1462759.7640195086</v>
      </c>
      <c r="Z15" s="292">
        <f ca="1">OFFSET('Income Statement'!AE19,0,SQRChartBindings!$F$4,1,1)</f>
        <v>1616055.9124375498</v>
      </c>
      <c r="AA15" s="292">
        <f ca="1">OFFSET('Income Statement'!AF19,0,SQRChartBindings!$F$4,1,1)</f>
        <v>1761514.4960635144</v>
      </c>
      <c r="AB15" s="292">
        <f ca="1">OFFSET('Income Statement'!AG19,0,SQRChartBindings!$F$4,1,1)</f>
        <v>1898358.3740564925</v>
      </c>
    </row>
    <row r="16" spans="1:30" ht="14.5">
      <c r="A16" s="292" t="s">
        <v>477</v>
      </c>
      <c r="B16" s="294">
        <v>22</v>
      </c>
      <c r="D16" s="294" t="s">
        <v>479</v>
      </c>
      <c r="E16" s="292">
        <f ca="1">OFFSET('Income Statement'!J22,0,SQRChartBindings!$F$4,1,1)</f>
        <v>-67000</v>
      </c>
      <c r="F16" s="292">
        <f ca="1">OFFSET('Income Statement'!K22,0,SQRChartBindings!$F$4,1,1)</f>
        <v>-74291.666666666672</v>
      </c>
      <c r="G16" s="292">
        <f ca="1">OFFSET('Income Statement'!L22,0,SQRChartBindings!$F$4,1,1)</f>
        <v>10291.666666666668</v>
      </c>
      <c r="H16" s="292">
        <f ca="1">OFFSET('Income Statement'!M22,0,SQRChartBindings!$F$4,1,1)</f>
        <v>44683.809815321147</v>
      </c>
      <c r="I16" s="292">
        <f ca="1">OFFSET('Income Statement'!N22,0,SQRChartBindings!$F$4,1,1)</f>
        <v>-4316.1901846788505</v>
      </c>
      <c r="J16" s="292">
        <f ca="1">OFFSET('Income Statement'!O22,0,SQRChartBindings!$F$4,1,1)</f>
        <v>1517.1431486544825</v>
      </c>
      <c r="K16" s="292">
        <f ca="1">OFFSET('Income Statement'!P22,0,SQRChartBindings!$F$4,1,1)</f>
        <v>153888.65280353255</v>
      </c>
      <c r="L16" s="292">
        <f ca="1">OFFSET('Income Statement'!Q22,0,SQRChartBindings!$F$4,1,1)</f>
        <v>153140.60535939189</v>
      </c>
      <c r="M16" s="292">
        <f ca="1">OFFSET('Income Statement'!R22,0,SQRChartBindings!$F$4,1,1)</f>
        <v>223723.93869272518</v>
      </c>
      <c r="N16" s="292">
        <f ca="1">OFFSET('Income Statement'!S22,0,SQRChartBindings!$F$4,1,1)</f>
        <v>194047.05170391328</v>
      </c>
      <c r="O16" s="292">
        <f ca="1">OFFSET('Income Statement'!T22,0,SQRChartBindings!$F$4,1,1)</f>
        <v>474047.05170391325</v>
      </c>
      <c r="P16" s="292">
        <f ca="1">OFFSET('Income Statement'!U22,0,SQRChartBindings!$F$4,1,1)</f>
        <v>459463.71837058</v>
      </c>
      <c r="Q16" s="292">
        <f ca="1">OFFSET('Income Statement'!V22,0,SQRChartBindings!$F$4,1,1)</f>
        <v>714385.20014763833</v>
      </c>
      <c r="R16" s="292">
        <f ca="1">OFFSET('Income Statement'!W22,0,SQRChartBindings!$F$4,1,1)</f>
        <v>936126.20909432671</v>
      </c>
      <c r="S16" s="292">
        <f ca="1">OFFSET('Income Statement'!X22,0,SQRChartBindings!$F$4,1,1)</f>
        <v>965296.53801287606</v>
      </c>
      <c r="T16" s="292">
        <f ca="1">OFFSET('Income Statement'!Y22,0,SQRChartBindings!$F$4,1,1)</f>
        <v>1228838.0012939419</v>
      </c>
      <c r="U16" s="292">
        <f ca="1">OFFSET('Income Statement'!Z22,0,SQRChartBindings!$F$4,1,1)</f>
        <v>1220293.1261017206</v>
      </c>
      <c r="V16" s="292">
        <f ca="1">OFFSET('Income Statement'!AA22,0,SQRChartBindings!$F$4,1,1)</f>
        <v>1214250.0097902729</v>
      </c>
      <c r="W16" s="292">
        <f ca="1">OFFSET('Income Statement'!AB22,0,SQRChartBindings!$F$4,1,1)</f>
        <v>1192283.4178255722</v>
      </c>
      <c r="X16" s="292">
        <f ca="1">OFFSET('Income Statement'!AC22,0,SQRChartBindings!$F$4,1,1)</f>
        <v>1184607.2966768641</v>
      </c>
      <c r="Y16" s="292">
        <f ca="1">OFFSET('Income Statement'!AD22,0,SQRChartBindings!$F$4,1,1)</f>
        <v>1154166.1445489402</v>
      </c>
      <c r="Z16" s="292">
        <f ca="1">OFFSET('Income Statement'!AE22,0,SQRChartBindings!$F$4,1,1)</f>
        <v>1276803.0632833731</v>
      </c>
      <c r="AA16" s="292">
        <f ca="1">OFFSET('Income Statement'!AF22,0,SQRChartBindings!$F$4,1,1)</f>
        <v>1391711.5968508115</v>
      </c>
      <c r="AB16" s="292">
        <f ca="1">OFFSET('Income Statement'!AG22,0,SQRChartBindings!$F$4,1,1)</f>
        <v>1498270.0325785272</v>
      </c>
    </row>
    <row r="17" spans="1:28" ht="14.5">
      <c r="E17" s="292"/>
      <c r="F17" s="292"/>
      <c r="G17" s="292"/>
      <c r="H17" s="292"/>
      <c r="I17" s="292"/>
      <c r="J17" s="292"/>
      <c r="K17" s="292"/>
      <c r="L17" s="292"/>
      <c r="M17" s="292"/>
      <c r="N17" s="292"/>
      <c r="O17" s="292"/>
      <c r="P17" s="292"/>
      <c r="Q17" s="292"/>
      <c r="R17" s="292"/>
      <c r="S17" s="292"/>
      <c r="T17" s="292"/>
      <c r="U17" s="292"/>
      <c r="V17" s="292"/>
      <c r="W17" s="292"/>
      <c r="X17" s="292"/>
      <c r="Y17" s="292"/>
      <c r="Z17" s="292"/>
      <c r="AA17" s="292"/>
      <c r="AB17" s="292"/>
    </row>
    <row r="18" spans="1:28" ht="14.5">
      <c r="A18" s="292" t="s">
        <v>477</v>
      </c>
      <c r="B18" s="292">
        <v>9</v>
      </c>
      <c r="D18" s="292" t="s">
        <v>480</v>
      </c>
      <c r="E18" s="292">
        <f ca="1">OFFSET('Income Statement'!J9,0,SQRChartBindings!$F$4,1,1)</f>
        <v>-42000</v>
      </c>
      <c r="F18" s="292">
        <f ca="1">OFFSET('Income Statement'!K9,0,SQRChartBindings!$F$4,1,1)</f>
        <v>-42000</v>
      </c>
      <c r="G18" s="292">
        <f ca="1">OFFSET('Income Statement'!L9,0,SQRChartBindings!$F$4,1,1)</f>
        <v>-42000</v>
      </c>
      <c r="H18" s="292">
        <f ca="1">OFFSET('Income Statement'!M9,0,SQRChartBindings!$F$4,1,1)</f>
        <v>-42000</v>
      </c>
      <c r="I18" s="292">
        <f ca="1">OFFSET('Income Statement'!N9,0,SQRChartBindings!$F$4,1,1)</f>
        <v>-126000</v>
      </c>
      <c r="J18" s="292">
        <f ca="1">OFFSET('Income Statement'!O9,0,SQRChartBindings!$F$4,1,1)</f>
        <v>-126000</v>
      </c>
      <c r="K18" s="292">
        <f ca="1">OFFSET('Income Statement'!P9,0,SQRChartBindings!$F$4,1,1)</f>
        <v>-126000</v>
      </c>
      <c r="L18" s="292">
        <f ca="1">OFFSET('Income Statement'!Q9,0,SQRChartBindings!$F$4,1,1)</f>
        <v>-210000</v>
      </c>
      <c r="M18" s="292">
        <f ca="1">OFFSET('Income Statement'!R9,0,SQRChartBindings!$F$4,1,1)</f>
        <v>-210000</v>
      </c>
      <c r="N18" s="292">
        <f ca="1">OFFSET('Income Statement'!S9,0,SQRChartBindings!$F$4,1,1)</f>
        <v>-210000</v>
      </c>
      <c r="O18" s="292">
        <f ca="1">OFFSET('Income Statement'!T9,0,SQRChartBindings!$F$4,1,1)</f>
        <v>-210000</v>
      </c>
      <c r="P18" s="292">
        <f ca="1">OFFSET('Income Statement'!U9,0,SQRChartBindings!$F$4,1,1)</f>
        <v>-210000</v>
      </c>
      <c r="Q18" s="292">
        <f ca="1">OFFSET('Income Statement'!V9,0,SQRChartBindings!$F$4,1,1)</f>
        <v>-222487.24981545203</v>
      </c>
      <c r="R18" s="292">
        <f ca="1">OFFSET('Income Statement'!W9,0,SQRChartBindings!$F$4,1,1)</f>
        <v>-235717.0301449683</v>
      </c>
      <c r="S18" s="292">
        <f ca="1">OFFSET('Income Statement'!X9,0,SQRChartBindings!$F$4,1,1)</f>
        <v>-249733.49415057144</v>
      </c>
      <c r="T18" s="292">
        <f ca="1">OFFSET('Income Statement'!Y9,0,SQRChartBindings!$F$4,1,1)</f>
        <v>-264583.42047792341</v>
      </c>
      <c r="U18" s="292">
        <f ca="1">OFFSET('Income Statement'!Z9,0,SQRChartBindings!$F$4,1,1)</f>
        <v>-280316.36937570723</v>
      </c>
      <c r="V18" s="292">
        <f ca="1">OFFSET('Income Statement'!AA9,0,SQRChartBindings!$F$4,1,1)</f>
        <v>-296984.84809834993</v>
      </c>
      <c r="W18" s="292">
        <f ca="1">OFFSET('Income Statement'!AB9,0,SQRChartBindings!$F$4,1,1)</f>
        <v>-314644.48614410311</v>
      </c>
      <c r="X18" s="292">
        <f ca="1">OFFSET('Income Statement'!AC9,0,SQRChartBindings!$F$4,1,1)</f>
        <v>-333354.22091332194</v>
      </c>
      <c r="Y18" s="292">
        <f ca="1">OFFSET('Income Statement'!AD9,0,SQRChartBindings!$F$4,1,1)</f>
        <v>-353176.4944065602</v>
      </c>
      <c r="Z18" s="292">
        <f ca="1">OFFSET('Income Statement'!AE9,0,SQRChartBindings!$F$4,1,1)</f>
        <v>-374177.46161894262</v>
      </c>
      <c r="AA18" s="292">
        <f ca="1">OFFSET('Income Statement'!AF9,0,SQRChartBindings!$F$4,1,1)</f>
        <v>-396427.21132631134</v>
      </c>
      <c r="AB18" s="292">
        <f ca="1">OFFSET('Income Statement'!AG9,0,SQRChartBindings!$F$4,1,1)</f>
        <v>-420000.00000000012</v>
      </c>
    </row>
    <row r="19" spans="1:28" ht="14.5">
      <c r="A19" s="292" t="s">
        <v>477</v>
      </c>
      <c r="B19" s="292">
        <v>10</v>
      </c>
      <c r="D19" s="313" t="s">
        <v>481</v>
      </c>
      <c r="E19" s="292">
        <f ca="1">OFFSET('Income Statement'!J10,0,SQRChartBindings!$F$4,1,1)</f>
        <v>-25000</v>
      </c>
      <c r="F19" s="292">
        <f ca="1">OFFSET('Income Statement'!K10,0,SQRChartBindings!$F$4,1,1)</f>
        <v>-25000</v>
      </c>
      <c r="G19" s="292">
        <f ca="1">OFFSET('Income Statement'!L10,0,SQRChartBindings!$F$4,1,1)</f>
        <v>-25000</v>
      </c>
      <c r="H19" s="292">
        <f ca="1">OFFSET('Income Statement'!M10,0,SQRChartBindings!$F$4,1,1)</f>
        <v>-25607.856851345517</v>
      </c>
      <c r="I19" s="292">
        <f ca="1">OFFSET('Income Statement'!N10,0,SQRChartBindings!$F$4,1,1)</f>
        <v>-25607.856851345517</v>
      </c>
      <c r="J19" s="292">
        <f ca="1">OFFSET('Income Statement'!O10,0,SQRChartBindings!$F$4,1,1)</f>
        <v>-25607.856851345517</v>
      </c>
      <c r="K19" s="292">
        <f ca="1">OFFSET('Income Statement'!P10,0,SQRChartBindings!$F$4,1,1)</f>
        <v>-26230.493300760143</v>
      </c>
      <c r="L19" s="292">
        <f ca="1">OFFSET('Income Statement'!Q10,0,SQRChartBindings!$F$4,1,1)</f>
        <v>-26230.493300760143</v>
      </c>
      <c r="M19" s="292">
        <f ca="1">OFFSET('Income Statement'!R10,0,SQRChartBindings!$F$4,1,1)</f>
        <v>-26230.493300760143</v>
      </c>
      <c r="N19" s="292">
        <f ca="1">OFFSET('Income Statement'!S10,0,SQRChartBindings!$F$4,1,1)</f>
        <v>-26868.268703441732</v>
      </c>
      <c r="O19" s="292">
        <f ca="1">OFFSET('Income Statement'!T10,0,SQRChartBindings!$F$4,1,1)</f>
        <v>-26868.268703441732</v>
      </c>
      <c r="P19" s="292">
        <f ca="1">OFFSET('Income Statement'!U10,0,SQRChartBindings!$F$4,1,1)</f>
        <v>-26868.268703441732</v>
      </c>
      <c r="Q19" s="292">
        <f ca="1">OFFSET('Income Statement'!V10,0,SQRChartBindings!$F$4,1,1)</f>
        <v>-27500.000000000004</v>
      </c>
      <c r="R19" s="292">
        <f ca="1">OFFSET('Income Statement'!W10,0,SQRChartBindings!$F$4,1,1)</f>
        <v>-27500.000000000004</v>
      </c>
      <c r="S19" s="292">
        <f ca="1">OFFSET('Income Statement'!X10,0,SQRChartBindings!$F$4,1,1)</f>
        <v>-27500.000000000004</v>
      </c>
      <c r="T19" s="292">
        <f ca="1">OFFSET('Income Statement'!Y10,0,SQRChartBindings!$F$4,1,1)</f>
        <v>-28171.389663808775</v>
      </c>
      <c r="U19" s="292">
        <f ca="1">OFFSET('Income Statement'!Z10,0,SQRChartBindings!$F$4,1,1)</f>
        <v>-28171.389663808775</v>
      </c>
      <c r="V19" s="292">
        <f ca="1">OFFSET('Income Statement'!AA10,0,SQRChartBindings!$F$4,1,1)</f>
        <v>-28171.389663808775</v>
      </c>
      <c r="W19" s="292">
        <f ca="1">OFFSET('Income Statement'!AB10,0,SQRChartBindings!$F$4,1,1)</f>
        <v>-28855.408240598044</v>
      </c>
      <c r="X19" s="292">
        <f ca="1">OFFSET('Income Statement'!AC10,0,SQRChartBindings!$F$4,1,1)</f>
        <v>-28855.408240598044</v>
      </c>
      <c r="Y19" s="292">
        <f ca="1">OFFSET('Income Statement'!AD10,0,SQRChartBindings!$F$4,1,1)</f>
        <v>-28855.408240598044</v>
      </c>
      <c r="Z19" s="292">
        <f ca="1">OFFSET('Income Statement'!AE10,0,SQRChartBindings!$F$4,1,1)</f>
        <v>-29558.292610174307</v>
      </c>
      <c r="AA19" s="292">
        <f ca="1">OFFSET('Income Statement'!AF10,0,SQRChartBindings!$F$4,1,1)</f>
        <v>-29558.292610174307</v>
      </c>
      <c r="AB19" s="292">
        <f ca="1">OFFSET('Income Statement'!AG10,0,SQRChartBindings!$F$4,1,1)</f>
        <v>-29558.292610174307</v>
      </c>
    </row>
    <row r="20" spans="1:28" ht="14.5">
      <c r="A20" s="292" t="s">
        <v>477</v>
      </c>
      <c r="B20" s="292">
        <v>13</v>
      </c>
      <c r="D20" s="313" t="s">
        <v>60</v>
      </c>
      <c r="E20" s="292">
        <f ca="1">OFFSET('Income Statement'!J13,0,$F$4,1,1)</f>
        <v>0</v>
      </c>
      <c r="F20" s="292">
        <f ca="1">OFFSET('Income Statement'!K13,0,$F$4,1,1)</f>
        <v>-7291.666666666667</v>
      </c>
      <c r="G20" s="292">
        <f ca="1">OFFSET('Income Statement'!L13,0,$F$4,1,1)</f>
        <v>7291.666666666667</v>
      </c>
      <c r="H20" s="292">
        <f ca="1">OFFSET('Income Statement'!M13,0,$F$4,1,1)</f>
        <v>7291.666666666667</v>
      </c>
      <c r="I20" s="292">
        <f ca="1">OFFSET('Income Statement'!N13,0,$F$4,1,1)</f>
        <v>7291.666666666667</v>
      </c>
      <c r="J20" s="292">
        <f ca="1">OFFSET('Income Statement'!O13,0,$F$4,1,1)</f>
        <v>-21875</v>
      </c>
      <c r="K20" s="292">
        <f ca="1">OFFSET('Income Statement'!P13,0,$F$4,1,1)</f>
        <v>-7291.666666666667</v>
      </c>
      <c r="L20" s="292">
        <f ca="1">OFFSET('Income Statement'!Q13,0,$F$4,1,1)</f>
        <v>-21875</v>
      </c>
      <c r="M20" s="292">
        <f ca="1">OFFSET('Income Statement'!R13,0,$F$4,1,1)</f>
        <v>-7291.666666666667</v>
      </c>
      <c r="N20" s="292">
        <f ca="1">OFFSET('Income Statement'!S13,0,$F$4,1,1)</f>
        <v>-36458.333333333336</v>
      </c>
      <c r="O20" s="292">
        <f ca="1">OFFSET('Income Statement'!T13,0,$F$4,1,1)</f>
        <v>-36458.333333333336</v>
      </c>
      <c r="P20" s="292">
        <f ca="1">OFFSET('Income Statement'!U13,0,$F$4,1,1)</f>
        <v>-51041.666666666664</v>
      </c>
      <c r="Q20" s="292">
        <f ca="1">OFFSET('Income Statement'!V13,0,$F$4,1,1)</f>
        <v>-65625</v>
      </c>
      <c r="R20" s="292">
        <f ca="1">OFFSET('Income Statement'!W13,0,$F$4,1,1)</f>
        <v>-65625</v>
      </c>
      <c r="S20" s="292">
        <f ca="1">OFFSET('Income Statement'!X13,0,$F$4,1,1)</f>
        <v>-72916.666666666672</v>
      </c>
      <c r="T20" s="292">
        <f ca="1">OFFSET('Income Statement'!Y13,0,$F$4,1,1)</f>
        <v>-72916.666666666672</v>
      </c>
      <c r="U20" s="292">
        <f ca="1">OFFSET('Income Statement'!Z13,0,$F$4,1,1)</f>
        <v>-72916.666666666672</v>
      </c>
      <c r="V20" s="292">
        <f ca="1">OFFSET('Income Statement'!AA13,0,$F$4,1,1)</f>
        <v>-65625</v>
      </c>
      <c r="W20" s="292">
        <f ca="1">OFFSET('Income Statement'!AB13,0,$F$4,1,1)</f>
        <v>-72916.666666666672</v>
      </c>
      <c r="X20" s="292">
        <f ca="1">OFFSET('Income Statement'!AC13,0,$F$4,1,1)</f>
        <v>-65625</v>
      </c>
      <c r="Y20" s="292">
        <f ca="1">OFFSET('Income Statement'!AD13,0,$F$4,1,1)</f>
        <v>-80208.333333333328</v>
      </c>
      <c r="Z20" s="292">
        <f ca="1">OFFSET('Income Statement'!AE13,0,$F$4,1,1)</f>
        <v>-80208.333333333328</v>
      </c>
      <c r="AA20" s="292">
        <f ca="1">OFFSET('Income Statement'!AF13,0,$F$4,1,1)</f>
        <v>-87500</v>
      </c>
      <c r="AB20" s="292">
        <f ca="1">OFFSET('Income Statement'!AG13,0,$F$4,1,1)</f>
        <v>-102083.33333333333</v>
      </c>
    </row>
    <row r="21" spans="1:28" ht="14.5">
      <c r="A21" s="292" t="s">
        <v>477</v>
      </c>
      <c r="B21" s="292">
        <v>16</v>
      </c>
      <c r="D21" s="314" t="s">
        <v>482</v>
      </c>
      <c r="E21" s="292">
        <f ca="1">OFFSET('Income Statement'!J16,0,$F$4,1,1)</f>
        <v>0</v>
      </c>
      <c r="F21" s="292">
        <f ca="1">OFFSET('Income Statement'!K16,0,$F$4,1,1)</f>
        <v>0</v>
      </c>
      <c r="G21" s="292">
        <f ca="1">OFFSET('Income Statement'!L16,0,$F$4,1,1)</f>
        <v>0</v>
      </c>
      <c r="H21" s="292">
        <f ca="1">OFFSET('Income Statement'!M16,0,$F$4,1,1)</f>
        <v>0</v>
      </c>
      <c r="I21" s="292">
        <f ca="1">OFFSET('Income Statement'!N16,0,$F$4,1,1)</f>
        <v>0</v>
      </c>
      <c r="J21" s="292">
        <f ca="1">OFFSET('Income Statement'!O16,0,$F$4,1,1)</f>
        <v>0</v>
      </c>
      <c r="K21" s="292">
        <f ca="1">OFFSET('Income Statement'!P16,0,$F$4,1,1)</f>
        <v>0</v>
      </c>
      <c r="L21" s="292">
        <f ca="1">OFFSET('Income Statement'!Q16,0,$F$4,1,1)</f>
        <v>0</v>
      </c>
      <c r="M21" s="292">
        <f ca="1">OFFSET('Income Statement'!R16,0,$F$4,1,1)</f>
        <v>0</v>
      </c>
      <c r="N21" s="292">
        <f ca="1">OFFSET('Income Statement'!S16,0,$F$4,1,1)</f>
        <v>0</v>
      </c>
      <c r="O21" s="292">
        <f ca="1">OFFSET('Income Statement'!T16,0,$F$4,1,1)</f>
        <v>0</v>
      </c>
      <c r="P21" s="292">
        <f ca="1">OFFSET('Income Statement'!U16,0,$F$4,1,1)</f>
        <v>0</v>
      </c>
      <c r="Q21" s="292">
        <f ca="1">OFFSET('Income Statement'!V16,0,$F$4,1,1)</f>
        <v>0</v>
      </c>
      <c r="R21" s="292">
        <f ca="1">OFFSET('Income Statement'!W16,0,$F$4,1,1)</f>
        <v>0</v>
      </c>
      <c r="S21" s="292">
        <f ca="1">OFFSET('Income Statement'!X16,0,$F$4,1,1)</f>
        <v>0</v>
      </c>
      <c r="T21" s="292">
        <f ca="1">OFFSET('Income Statement'!Y16,0,$F$4,1,1)</f>
        <v>0</v>
      </c>
      <c r="U21" s="292">
        <f ca="1">OFFSET('Income Statement'!Z16,0,$F$4,1,1)</f>
        <v>0</v>
      </c>
      <c r="V21" s="292">
        <f ca="1">OFFSET('Income Statement'!AA16,0,$F$4,1,1)</f>
        <v>0</v>
      </c>
      <c r="W21" s="292">
        <f ca="1">OFFSET('Income Statement'!AB16,0,$F$4,1,1)</f>
        <v>0</v>
      </c>
      <c r="X21" s="292">
        <f ca="1">OFFSET('Income Statement'!AC16,0,$F$4,1,1)</f>
        <v>0</v>
      </c>
      <c r="Y21" s="292">
        <f ca="1">OFFSET('Income Statement'!AD16,0,$F$4,1,1)</f>
        <v>0</v>
      </c>
      <c r="Z21" s="292">
        <f ca="1">OFFSET('Income Statement'!AE16,0,$F$4,1,1)</f>
        <v>0</v>
      </c>
      <c r="AA21" s="292">
        <f ca="1">OFFSET('Income Statement'!AF16,0,$F$4,1,1)</f>
        <v>0</v>
      </c>
      <c r="AB21" s="292">
        <f ca="1">OFFSET('Income Statement'!AG16,0,$F$4,1,1)</f>
        <v>0</v>
      </c>
    </row>
    <row r="22" spans="1:28" ht="14.5">
      <c r="A22" s="292" t="s">
        <v>477</v>
      </c>
      <c r="B22" s="292">
        <v>17</v>
      </c>
      <c r="D22" s="292" t="s">
        <v>483</v>
      </c>
      <c r="E22" s="292">
        <f ca="1">OFFSET('Income Statement'!J17,0,$F$4,1,1)</f>
        <v>0</v>
      </c>
      <c r="F22" s="292">
        <f ca="1">OFFSET('Income Statement'!K17,0,$F$4,1,1)</f>
        <v>0</v>
      </c>
      <c r="G22" s="292">
        <f ca="1">OFFSET('Income Statement'!L17,0,$F$4,1,1)</f>
        <v>0</v>
      </c>
      <c r="H22" s="292">
        <f ca="1">OFFSET('Income Statement'!M17,0,$F$4,1,1)</f>
        <v>0</v>
      </c>
      <c r="I22" s="292">
        <f ca="1">OFFSET('Income Statement'!N17,0,$F$4,1,1)</f>
        <v>0</v>
      </c>
      <c r="J22" s="292">
        <f ca="1">OFFSET('Income Statement'!O17,0,$F$4,1,1)</f>
        <v>0</v>
      </c>
      <c r="K22" s="292">
        <f ca="1">OFFSET('Income Statement'!P17,0,$F$4,1,1)</f>
        <v>0</v>
      </c>
      <c r="L22" s="292">
        <f ca="1">OFFSET('Income Statement'!Q17,0,$F$4,1,1)</f>
        <v>0</v>
      </c>
      <c r="M22" s="292">
        <f ca="1">OFFSET('Income Statement'!R17,0,$F$4,1,1)</f>
        <v>0</v>
      </c>
      <c r="N22" s="292">
        <f ca="1">OFFSET('Income Statement'!S17,0,$F$4,1,1)</f>
        <v>0</v>
      </c>
      <c r="O22" s="292">
        <f ca="1">OFFSET('Income Statement'!T17,0,$F$4,1,1)</f>
        <v>0</v>
      </c>
      <c r="P22" s="292">
        <f ca="1">OFFSET('Income Statement'!U17,0,$F$4,1,1)</f>
        <v>0</v>
      </c>
      <c r="Q22" s="292">
        <f ca="1">OFFSET('Income Statement'!V17,0,$F$4,1,1)</f>
        <v>0</v>
      </c>
      <c r="R22" s="292">
        <f ca="1">OFFSET('Income Statement'!W17,0,$F$4,1,1)</f>
        <v>0</v>
      </c>
      <c r="S22" s="292">
        <f ca="1">OFFSET('Income Statement'!X17,0,$F$4,1,1)</f>
        <v>0</v>
      </c>
      <c r="T22" s="292">
        <f ca="1">OFFSET('Income Statement'!Y17,0,$F$4,1,1)</f>
        <v>0</v>
      </c>
      <c r="U22" s="292">
        <f ca="1">OFFSET('Income Statement'!Z17,0,$F$4,1,1)</f>
        <v>0</v>
      </c>
      <c r="V22" s="292">
        <f ca="1">OFFSET('Income Statement'!AA17,0,$F$4,1,1)</f>
        <v>0</v>
      </c>
      <c r="W22" s="292">
        <f ca="1">OFFSET('Income Statement'!AB17,0,$F$4,1,1)</f>
        <v>0</v>
      </c>
      <c r="X22" s="292">
        <f ca="1">OFFSET('Income Statement'!AC17,0,$F$4,1,1)</f>
        <v>0</v>
      </c>
      <c r="Y22" s="292">
        <f ca="1">OFFSET('Income Statement'!AD17,0,$F$4,1,1)</f>
        <v>0</v>
      </c>
      <c r="Z22" s="292">
        <f ca="1">OFFSET('Income Statement'!AE17,0,$F$4,1,1)</f>
        <v>0</v>
      </c>
      <c r="AA22" s="292">
        <f ca="1">OFFSET('Income Statement'!AF17,0,$F$4,1,1)</f>
        <v>0</v>
      </c>
      <c r="AB22" s="292">
        <f ca="1">OFFSET('Income Statement'!AG17,0,$F$4,1,1)</f>
        <v>0</v>
      </c>
    </row>
    <row r="23" spans="1:28" ht="14.5">
      <c r="A23" s="292" t="s">
        <v>477</v>
      </c>
      <c r="B23" s="292">
        <v>18</v>
      </c>
      <c r="D23" s="292" t="s">
        <v>484</v>
      </c>
      <c r="E23" s="292">
        <f ca="1">OFFSET('Income Statement'!J18,0,$F$4,1,1)</f>
        <v>0</v>
      </c>
      <c r="F23" s="292">
        <f ca="1">OFFSET('Income Statement'!K18,0,$F$4,1,1)</f>
        <v>0</v>
      </c>
      <c r="G23" s="292">
        <f ca="1">OFFSET('Income Statement'!L18,0,$F$4,1,1)</f>
        <v>0</v>
      </c>
      <c r="H23" s="292">
        <f ca="1">OFFSET('Income Statement'!M18,0,$F$4,1,1)</f>
        <v>0</v>
      </c>
      <c r="I23" s="292">
        <f ca="1">OFFSET('Income Statement'!N18,0,$F$4,1,1)</f>
        <v>0</v>
      </c>
      <c r="J23" s="292">
        <f ca="1">OFFSET('Income Statement'!O18,0,$F$4,1,1)</f>
        <v>0</v>
      </c>
      <c r="K23" s="292">
        <f ca="1">OFFSET('Income Statement'!P18,0,$F$4,1,1)</f>
        <v>0</v>
      </c>
      <c r="L23" s="292">
        <f ca="1">OFFSET('Income Statement'!Q18,0,$F$4,1,1)</f>
        <v>0</v>
      </c>
      <c r="M23" s="292">
        <f ca="1">OFFSET('Income Statement'!R18,0,$F$4,1,1)</f>
        <v>0</v>
      </c>
      <c r="N23" s="292">
        <f ca="1">OFFSET('Income Statement'!S18,0,$F$4,1,1)</f>
        <v>0</v>
      </c>
      <c r="O23" s="292">
        <f ca="1">OFFSET('Income Statement'!T18,0,$F$4,1,1)</f>
        <v>0</v>
      </c>
      <c r="P23" s="292">
        <f ca="1">OFFSET('Income Statement'!U18,0,$F$4,1,1)</f>
        <v>0</v>
      </c>
      <c r="Q23" s="292">
        <f ca="1">OFFSET('Income Statement'!V18,0,$F$4,1,1)</f>
        <v>0</v>
      </c>
      <c r="R23" s="292">
        <f ca="1">OFFSET('Income Statement'!W18,0,$F$4,1,1)</f>
        <v>0</v>
      </c>
      <c r="S23" s="292">
        <f ca="1">OFFSET('Income Statement'!X18,0,$F$4,1,1)</f>
        <v>0</v>
      </c>
      <c r="T23" s="292">
        <f ca="1">OFFSET('Income Statement'!Y18,0,$F$4,1,1)</f>
        <v>0</v>
      </c>
      <c r="U23" s="292">
        <f ca="1">OFFSET('Income Statement'!Z18,0,$F$4,1,1)</f>
        <v>0</v>
      </c>
      <c r="V23" s="292">
        <f ca="1">OFFSET('Income Statement'!AA18,0,$F$4,1,1)</f>
        <v>0</v>
      </c>
      <c r="W23" s="292">
        <f ca="1">OFFSET('Income Statement'!AB18,0,$F$4,1,1)</f>
        <v>0</v>
      </c>
      <c r="X23" s="292">
        <f ca="1">OFFSET('Income Statement'!AC18,0,$F$4,1,1)</f>
        <v>0</v>
      </c>
      <c r="Y23" s="292">
        <f ca="1">OFFSET('Income Statement'!AD18,0,$F$4,1,1)</f>
        <v>0</v>
      </c>
      <c r="Z23" s="292">
        <f ca="1">OFFSET('Income Statement'!AE18,0,$F$4,1,1)</f>
        <v>0</v>
      </c>
      <c r="AA23" s="292">
        <f ca="1">OFFSET('Income Statement'!AF18,0,$F$4,1,1)</f>
        <v>0</v>
      </c>
      <c r="AB23" s="292">
        <f ca="1">OFFSET('Income Statement'!AG18,0,$F$4,1,1)</f>
        <v>0</v>
      </c>
    </row>
    <row r="24" spans="1:28" ht="14.5">
      <c r="A24" s="292" t="s">
        <v>477</v>
      </c>
      <c r="B24" s="294">
        <v>21</v>
      </c>
      <c r="D24" s="292" t="s">
        <v>485</v>
      </c>
      <c r="E24" s="292">
        <f ca="1">OFFSET('Income Statement'!J21,0,SQRChartBindings!$F$4,1,1)</f>
        <v>0</v>
      </c>
      <c r="F24" s="292">
        <f ca="1">OFFSET('Income Statement'!K21,0,SQRChartBindings!$F$4,1,1)</f>
        <v>0</v>
      </c>
      <c r="G24" s="292">
        <f ca="1">OFFSET('Income Statement'!L21,0,SQRChartBindings!$F$4,1,1)</f>
        <v>0</v>
      </c>
      <c r="H24" s="292">
        <f ca="1">OFFSET('Income Statement'!M21,0,SQRChartBindings!$F$4,1,1)</f>
        <v>0</v>
      </c>
      <c r="I24" s="292">
        <f ca="1">OFFSET('Income Statement'!N21,0,SQRChartBindings!$F$4,1,1)</f>
        <v>0</v>
      </c>
      <c r="J24" s="292">
        <f ca="1">OFFSET('Income Statement'!O21,0,SQRChartBindings!$F$4,1,1)</f>
        <v>0</v>
      </c>
      <c r="K24" s="292">
        <f ca="1">OFFSET('Income Statement'!P21,0,SQRChartBindings!$F$4,1,1)</f>
        <v>-36589.187229040661</v>
      </c>
      <c r="L24" s="292">
        <f ca="1">OFFSET('Income Statement'!Q21,0,SQRChartBindings!$F$4,1,1)</f>
        <v>-43753.901339847973</v>
      </c>
      <c r="M24" s="292">
        <f ca="1">OFFSET('Income Statement'!R21,0,SQRChartBindings!$F$4,1,1)</f>
        <v>-57753.901339847973</v>
      </c>
      <c r="N24" s="292">
        <f ca="1">OFFSET('Income Statement'!S21,0,SQRChartBindings!$F$4,1,1)</f>
        <v>-57626.346259311656</v>
      </c>
      <c r="O24" s="292">
        <f ca="1">OFFSET('Income Statement'!T21,0,SQRChartBindings!$F$4,1,1)</f>
        <v>-127626.34625931166</v>
      </c>
      <c r="P24" s="292">
        <f ca="1">OFFSET('Income Statement'!U21,0,SQRChartBindings!$F$4,1,1)</f>
        <v>-127626.34625931166</v>
      </c>
      <c r="Q24" s="292">
        <f ca="1">OFFSET('Income Statement'!V21,0,SQRChartBindings!$F$4,1,1)</f>
        <v>-195002.55003690961</v>
      </c>
      <c r="R24" s="292">
        <f ca="1">OFFSET('Income Statement'!W21,0,SQRChartBindings!$F$4,1,1)</f>
        <v>-250437.80227358171</v>
      </c>
      <c r="S24" s="292">
        <f ca="1">OFFSET('Income Statement'!X21,0,SQRChartBindings!$F$4,1,1)</f>
        <v>-259553.3011698857</v>
      </c>
      <c r="T24" s="292">
        <f ca="1">OFFSET('Income Statement'!Y21,0,SQRChartBindings!$F$4,1,1)</f>
        <v>-325438.66699015221</v>
      </c>
      <c r="U24" s="292">
        <f ca="1">OFFSET('Income Statement'!Z21,0,SQRChartBindings!$F$4,1,1)</f>
        <v>-323302.44819209684</v>
      </c>
      <c r="V24" s="292">
        <f ca="1">OFFSET('Income Statement'!AA21,0,SQRChartBindings!$F$4,1,1)</f>
        <v>-319968.75244756829</v>
      </c>
      <c r="W24" s="292">
        <f ca="1">OFFSET('Income Statement'!AB21,0,SQRChartBindings!$F$4,1,1)</f>
        <v>-316300.02112305979</v>
      </c>
      <c r="X24" s="292">
        <f ca="1">OFFSET('Income Statement'!AC21,0,SQRChartBindings!$F$4,1,1)</f>
        <v>-312558.07416921604</v>
      </c>
      <c r="Y24" s="292">
        <f ca="1">OFFSET('Income Statement'!AD21,0,SQRChartBindings!$F$4,1,1)</f>
        <v>-308593.61947056837</v>
      </c>
      <c r="Z24" s="292">
        <f ca="1">OFFSET('Income Statement'!AE21,0,SQRChartBindings!$F$4,1,1)</f>
        <v>-339252.84915417666</v>
      </c>
      <c r="AA24" s="292">
        <f ca="1">OFFSET('Income Statement'!AF21,0,SQRChartBindings!$F$4,1,1)</f>
        <v>-369802.89921270288</v>
      </c>
      <c r="AB24" s="292">
        <f ca="1">OFFSET('Income Statement'!AG21,0,SQRChartBindings!$F$4,1,1)</f>
        <v>-400088.34147796518</v>
      </c>
    </row>
    <row r="26" spans="1:28" ht="14.5">
      <c r="A26" s="294" t="s">
        <v>486</v>
      </c>
      <c r="B26" s="292">
        <v>10</v>
      </c>
      <c r="D26" s="314" t="s">
        <v>487</v>
      </c>
      <c r="E26" s="292">
        <f ca="1">OFFSET('Inventory Report'!J10,0,SQRChartBindings!$F$4,1,1)</f>
        <v>1000</v>
      </c>
      <c r="F26" s="292">
        <f ca="1">OFFSET('Inventory Report'!K10,0,SQRChartBindings!$F$4,1,1)</f>
        <v>2000</v>
      </c>
      <c r="G26" s="292">
        <f ca="1">OFFSET('Inventory Report'!L10,0,SQRChartBindings!$F$4,1,1)</f>
        <v>1000</v>
      </c>
      <c r="H26" s="292">
        <f ca="1">OFFSET('Inventory Report'!M10,0,SQRChartBindings!$F$4,1,1)</f>
        <v>1000</v>
      </c>
      <c r="I26" s="292">
        <f ca="1">OFFSET('Inventory Report'!N10,0,SQRChartBindings!$F$4,1,1)</f>
        <v>3000</v>
      </c>
      <c r="J26" s="292">
        <f ca="1">OFFSET('Inventory Report'!O10,0,SQRChartBindings!$F$4,1,1)</f>
        <v>5000</v>
      </c>
      <c r="K26" s="292">
        <f ca="1">OFFSET('Inventory Report'!P10,0,SQRChartBindings!$F$4,1,1)</f>
        <v>3000</v>
      </c>
      <c r="L26" s="292">
        <f ca="1">OFFSET('Inventory Report'!Q10,0,SQRChartBindings!$F$4,1,1)</f>
        <v>5000</v>
      </c>
      <c r="M26" s="292">
        <f ca="1">OFFSET('Inventory Report'!R10,0,SQRChartBindings!$F$4,1,1)</f>
        <v>8000</v>
      </c>
      <c r="N26" s="292">
        <f ca="1">OFFSET('Inventory Report'!S10,0,SQRChartBindings!$F$4,1,1)</f>
        <v>13000</v>
      </c>
      <c r="O26" s="292">
        <f ca="1">OFFSET('Inventory Report'!T10,0,SQRChartBindings!$F$4,1,1)</f>
        <v>8000</v>
      </c>
      <c r="P26" s="292">
        <f ca="1">OFFSET('Inventory Report'!U10,0,SQRChartBindings!$F$4,1,1)</f>
        <v>13000</v>
      </c>
      <c r="Q26" s="292">
        <f ca="1">OFFSET('Inventory Report'!V10,0,SQRChartBindings!$F$4,1,1)</f>
        <v>8297.3154717964753</v>
      </c>
      <c r="R26" s="292">
        <f ca="1">OFFSET('Inventory Report'!W10,0,SQRChartBindings!$F$4,1,1)</f>
        <v>5612.3102415468638</v>
      </c>
      <c r="S26" s="292">
        <f ca="1">OFFSET('Inventory Report'!X10,0,SQRChartBindings!$F$4,1,1)</f>
        <v>9855.6612883569433</v>
      </c>
      <c r="T26" s="292">
        <f ca="1">OFFSET('Inventory Report'!Y10,0,SQRChartBindings!$F$4,1,1)</f>
        <v>6299.6052494743653</v>
      </c>
      <c r="U26" s="292">
        <f ca="1">OFFSET('Inventory Report'!Z10,0,SQRChartBindings!$F$4,1,1)</f>
        <v>12829.46580868148</v>
      </c>
      <c r="V26" s="292">
        <f ca="1">OFFSET('Inventory Report'!AA10,0,SQRChartBindings!$F$4,1,1)</f>
        <v>19900.533620546954</v>
      </c>
      <c r="W26" s="292">
        <f ca="1">OFFSET('Inventory Report'!AB10,0,SQRChartBindings!$F$4,1,1)</f>
        <v>27392.069004930359</v>
      </c>
      <c r="X26" s="292">
        <f ca="1">OFFSET('Inventory Report'!AC10,0,SQRChartBindings!$F$4,1,1)</f>
        <v>35329.074264771356</v>
      </c>
      <c r="Y26" s="292">
        <f ca="1">OFFSET('Inventory Report'!AD10,0,SQRChartBindings!$F$4,1,1)</f>
        <v>43738.038417308504</v>
      </c>
      <c r="Z26" s="292">
        <f ca="1">OFFSET('Inventory Report'!AE10,0,SQRChartBindings!$F$4,1,1)</f>
        <v>47647.025598711902</v>
      </c>
      <c r="AA26" s="292">
        <f ca="1">OFFSET('Inventory Report'!AF10,0,SQRChartBindings!$F$4,1,1)</f>
        <v>52085.76872552884</v>
      </c>
      <c r="AB26" s="292">
        <f ca="1">OFFSET('Inventory Report'!AG10,0,SQRChartBindings!$F$4,1,1)</f>
        <v>57085.76872552884</v>
      </c>
    </row>
    <row r="27" spans="1:28" ht="14.5">
      <c r="A27" s="294" t="s">
        <v>486</v>
      </c>
      <c r="B27" s="292">
        <v>12</v>
      </c>
      <c r="D27" s="292" t="s">
        <v>175</v>
      </c>
      <c r="E27" s="292">
        <f ca="1">OFFSET('Inventory Report'!J12,0,SQRChartBindings!$F$4,1,1)</f>
        <v>0</v>
      </c>
      <c r="F27" s="292">
        <f ca="1">OFFSET('Inventory Report'!K12,0,SQRChartBindings!$F$4,1,1)</f>
        <v>-5000</v>
      </c>
      <c r="G27" s="292">
        <f ca="1">OFFSET('Inventory Report'!L12,0,SQRChartBindings!$F$4,1,1)</f>
        <v>5000</v>
      </c>
      <c r="H27" s="292">
        <f ca="1">OFFSET('Inventory Report'!M12,0,SQRChartBindings!$F$4,1,1)</f>
        <v>15000</v>
      </c>
      <c r="I27" s="292">
        <f ca="1">OFFSET('Inventory Report'!N12,0,SQRChartBindings!$F$4,1,1)</f>
        <v>25000</v>
      </c>
      <c r="J27" s="292">
        <f ca="1">OFFSET('Inventory Report'!O12,0,SQRChartBindings!$F$4,1,1)</f>
        <v>15000</v>
      </c>
      <c r="K27" s="292">
        <f ca="1">OFFSET('Inventory Report'!P12,0,SQRChartBindings!$F$4,1,1)</f>
        <v>25000</v>
      </c>
      <c r="L27" s="292">
        <f ca="1">OFFSET('Inventory Report'!Q12,0,SQRChartBindings!$F$4,1,1)</f>
        <v>25000</v>
      </c>
      <c r="M27" s="292">
        <f ca="1">OFFSET('Inventory Report'!R12,0,SQRChartBindings!$F$4,1,1)</f>
        <v>35000</v>
      </c>
      <c r="N27" s="292">
        <f ca="1">OFFSET('Inventory Report'!S12,0,SQRChartBindings!$F$4,1,1)</f>
        <v>25000</v>
      </c>
      <c r="O27" s="292">
        <f ca="1">OFFSET('Inventory Report'!T12,0,SQRChartBindings!$F$4,1,1)</f>
        <v>25000</v>
      </c>
      <c r="P27" s="292">
        <f ca="1">OFFSET('Inventory Report'!U12,0,SQRChartBindings!$F$4,1,1)</f>
        <v>15000</v>
      </c>
      <c r="Q27" s="292">
        <f ca="1">OFFSET('Inventory Report'!V12,0,SQRChartBindings!$F$4,1,1)</f>
        <v>5000</v>
      </c>
      <c r="R27" s="292">
        <f ca="1">OFFSET('Inventory Report'!W12,0,SQRChartBindings!$F$4,1,1)</f>
        <v>5000</v>
      </c>
      <c r="S27" s="292">
        <f ca="1">OFFSET('Inventory Report'!X12,0,SQRChartBindings!$F$4,1,1)</f>
        <v>0</v>
      </c>
      <c r="T27" s="292">
        <f ca="1">OFFSET('Inventory Report'!Y12,0,SQRChartBindings!$F$4,1,1)</f>
        <v>5000</v>
      </c>
      <c r="U27" s="292">
        <f ca="1">OFFSET('Inventory Report'!Z12,0,SQRChartBindings!$F$4,1,1)</f>
        <v>10000</v>
      </c>
      <c r="V27" s="292">
        <f ca="1">OFFSET('Inventory Report'!AA12,0,SQRChartBindings!$F$4,1,1)</f>
        <v>20000</v>
      </c>
      <c r="W27" s="292">
        <f ca="1">OFFSET('Inventory Report'!AB12,0,SQRChartBindings!$F$4,1,1)</f>
        <v>25000</v>
      </c>
      <c r="X27" s="292">
        <f ca="1">OFFSET('Inventory Report'!AC12,0,SQRChartBindings!$F$4,1,1)</f>
        <v>35000</v>
      </c>
      <c r="Y27" s="292">
        <f ca="1">OFFSET('Inventory Report'!AD12,0,SQRChartBindings!$F$4,1,1)</f>
        <v>35000</v>
      </c>
      <c r="Z27" s="292">
        <f ca="1">OFFSET('Inventory Report'!AE12,0,SQRChartBindings!$F$4,1,1)</f>
        <v>40000</v>
      </c>
      <c r="AA27" s="292">
        <f ca="1">OFFSET('Inventory Report'!AF12,0,SQRChartBindings!$F$4,1,1)</f>
        <v>45000</v>
      </c>
      <c r="AB27" s="292">
        <f ca="1">OFFSET('Inventory Report'!AG12,0,SQRChartBindings!$F$4,1,1)</f>
        <v>45000</v>
      </c>
    </row>
    <row r="28" spans="1:28" ht="14.5">
      <c r="A28" s="294" t="s">
        <v>486</v>
      </c>
      <c r="B28" s="292">
        <v>15</v>
      </c>
      <c r="D28" s="313" t="s">
        <v>130</v>
      </c>
      <c r="E28" s="292">
        <f ca="1">OFFSET('Inventory Report'!J15,0,SQRChartBindings!$F$4,1,1)</f>
        <v>0</v>
      </c>
      <c r="F28" s="292">
        <f ca="1">OFFSET('Inventory Report'!K15,0,SQRChartBindings!$F$4,1,1)</f>
        <v>5000</v>
      </c>
      <c r="G28" s="292">
        <f ca="1">OFFSET('Inventory Report'!L15,0,SQRChartBindings!$F$4,1,1)</f>
        <v>3000</v>
      </c>
      <c r="H28" s="292">
        <f ca="1">OFFSET('Inventory Report'!M15,0,SQRChartBindings!$F$4,1,1)</f>
        <v>2000</v>
      </c>
      <c r="I28" s="292">
        <f ca="1">OFFSET('Inventory Report'!N15,0,SQRChartBindings!$F$4,1,1)</f>
        <v>1000</v>
      </c>
      <c r="J28" s="292">
        <f ca="1">OFFSET('Inventory Report'!O15,0,SQRChartBindings!$F$4,1,1)</f>
        <v>10000</v>
      </c>
      <c r="K28" s="292">
        <f ca="1">OFFSET('Inventory Report'!P15,0,SQRChartBindings!$F$4,1,1)</f>
        <v>5000</v>
      </c>
      <c r="L28" s="292">
        <f ca="1">OFFSET('Inventory Report'!Q15,0,SQRChartBindings!$F$4,1,1)</f>
        <v>2000</v>
      </c>
      <c r="M28" s="292">
        <f ca="1">OFFSET('Inventory Report'!R15,0,SQRChartBindings!$F$4,1,1)</f>
        <v>0</v>
      </c>
      <c r="N28" s="292">
        <f ca="1">OFFSET('Inventory Report'!S15,0,SQRChartBindings!$F$4,1,1)</f>
        <v>10000</v>
      </c>
      <c r="O28" s="292">
        <f ca="1">OFFSET('Inventory Report'!T15,0,SQRChartBindings!$F$4,1,1)</f>
        <v>0</v>
      </c>
      <c r="P28" s="292">
        <f ca="1">OFFSET('Inventory Report'!U15,0,SQRChartBindings!$F$4,1,1)</f>
        <v>10000</v>
      </c>
      <c r="Q28" s="292">
        <f ca="1">OFFSET('Inventory Report'!V15,0,SQRChartBindings!$F$4,1,1)</f>
        <v>10000</v>
      </c>
      <c r="R28" s="292">
        <f ca="1">OFFSET('Inventory Report'!W15,0,SQRChartBindings!$F$4,1,1)</f>
        <v>1702.6845282035247</v>
      </c>
      <c r="S28" s="292">
        <f ca="1">OFFSET('Inventory Report'!X15,0,SQRChartBindings!$F$4,1,1)</f>
        <v>10000</v>
      </c>
      <c r="T28" s="292">
        <f ca="1">OFFSET('Inventory Report'!Y15,0,SQRChartBindings!$F$4,1,1)</f>
        <v>144.33871164305674</v>
      </c>
      <c r="U28" s="292">
        <f ca="1">OFFSET('Inventory Report'!Z15,0,SQRChartBindings!$F$4,1,1)</f>
        <v>0</v>
      </c>
      <c r="V28" s="292">
        <f ca="1">OFFSET('Inventory Report'!AA15,0,SQRChartBindings!$F$4,1,1)</f>
        <v>0</v>
      </c>
      <c r="W28" s="292">
        <f ca="1">OFFSET('Inventory Report'!AB15,0,SQRChartBindings!$F$4,1,1)</f>
        <v>0</v>
      </c>
      <c r="X28" s="292">
        <f ca="1">OFFSET('Inventory Report'!AC15,0,SQRChartBindings!$F$4,1,1)</f>
        <v>0</v>
      </c>
      <c r="Y28" s="292">
        <f ca="1">OFFSET('Inventory Report'!AD15,0,SQRChartBindings!$F$4,1,1)</f>
        <v>5000</v>
      </c>
      <c r="Z28" s="292">
        <f ca="1">OFFSET('Inventory Report'!AE15,0,SQRChartBindings!$F$4,1,1)</f>
        <v>5000</v>
      </c>
      <c r="AA28" s="292">
        <f ca="1">OFFSET('Inventory Report'!AF15,0,SQRChartBindings!$F$4,1,1)</f>
        <v>5000</v>
      </c>
      <c r="AB28" s="292">
        <f ca="1">OFFSET('Inventory Report'!AG15,0,SQRChartBindings!$F$4,1,1)</f>
        <v>10000</v>
      </c>
    </row>
    <row r="29" spans="1:28" ht="14.5">
      <c r="A29" s="294" t="s">
        <v>486</v>
      </c>
      <c r="B29" s="292">
        <v>17</v>
      </c>
      <c r="D29" s="313" t="s">
        <v>488</v>
      </c>
      <c r="E29" s="292">
        <f ca="1">OFFSET('Inventory Report'!J17,0,SQRChartBindings!$F$4,1,1)</f>
        <v>0</v>
      </c>
      <c r="F29" s="292">
        <f ca="1">OFFSET('Inventory Report'!K17,0,SQRChartBindings!$F$4,1,1)</f>
        <v>0</v>
      </c>
      <c r="G29" s="292">
        <f ca="1">OFFSET('Inventory Report'!L17,0,SQRChartBindings!$F$4,1,1)</f>
        <v>2000</v>
      </c>
      <c r="H29" s="292">
        <f ca="1">OFFSET('Inventory Report'!M17,0,SQRChartBindings!$F$4,1,1)</f>
        <v>3000</v>
      </c>
      <c r="I29" s="292">
        <f ca="1">OFFSET('Inventory Report'!N17,0,SQRChartBindings!$F$4,1,1)</f>
        <v>4000</v>
      </c>
      <c r="J29" s="292">
        <f ca="1">OFFSET('Inventory Report'!O17,0,SQRChartBindings!$F$4,1,1)</f>
        <v>5000</v>
      </c>
      <c r="K29" s="292">
        <f ca="1">OFFSET('Inventory Report'!P17,0,SQRChartBindings!$F$4,1,1)</f>
        <v>10000</v>
      </c>
      <c r="L29" s="292">
        <f ca="1">OFFSET('Inventory Report'!Q17,0,SQRChartBindings!$F$4,1,1)</f>
        <v>13000</v>
      </c>
      <c r="M29" s="292">
        <f ca="1">OFFSET('Inventory Report'!R17,0,SQRChartBindings!$F$4,1,1)</f>
        <v>15000</v>
      </c>
      <c r="N29" s="292">
        <f ca="1">OFFSET('Inventory Report'!S17,0,SQRChartBindings!$F$4,1,1)</f>
        <v>15000</v>
      </c>
      <c r="O29" s="292">
        <f ca="1">OFFSET('Inventory Report'!T17,0,SQRChartBindings!$F$4,1,1)</f>
        <v>25000</v>
      </c>
      <c r="P29" s="292">
        <f ca="1">OFFSET('Inventory Report'!U17,0,SQRChartBindings!$F$4,1,1)</f>
        <v>25000</v>
      </c>
      <c r="Q29" s="292">
        <f ca="1">OFFSET('Inventory Report'!V17,0,SQRChartBindings!$F$4,1,1)</f>
        <v>35000</v>
      </c>
      <c r="R29" s="292">
        <f ca="1">OFFSET('Inventory Report'!W17,0,SQRChartBindings!$F$4,1,1)</f>
        <v>43297.315471796479</v>
      </c>
      <c r="S29" s="292">
        <f ca="1">OFFSET('Inventory Report'!X17,0,SQRChartBindings!$F$4,1,1)</f>
        <v>45000</v>
      </c>
      <c r="T29" s="292">
        <f ca="1">OFFSET('Inventory Report'!Y17,0,SQRChartBindings!$F$4,1,1)</f>
        <v>54855.661288356947</v>
      </c>
      <c r="U29" s="292">
        <f ca="1">OFFSET('Inventory Report'!Z17,0,SQRChartBindings!$F$4,1,1)</f>
        <v>55000</v>
      </c>
      <c r="V29" s="292">
        <f ca="1">OFFSET('Inventory Report'!AA17,0,SQRChartBindings!$F$4,1,1)</f>
        <v>55000</v>
      </c>
      <c r="W29" s="292">
        <f ca="1">OFFSET('Inventory Report'!AB17,0,SQRChartBindings!$F$4,1,1)</f>
        <v>55000</v>
      </c>
      <c r="X29" s="292">
        <f ca="1">OFFSET('Inventory Report'!AC17,0,SQRChartBindings!$F$4,1,1)</f>
        <v>55000</v>
      </c>
      <c r="Y29" s="292">
        <f ca="1">OFFSET('Inventory Report'!AD17,0,SQRChartBindings!$F$4,1,1)</f>
        <v>55000</v>
      </c>
      <c r="Z29" s="292">
        <f ca="1">OFFSET('Inventory Report'!AE17,0,SQRChartBindings!$F$4,1,1)</f>
        <v>60000</v>
      </c>
      <c r="AA29" s="292">
        <f ca="1">OFFSET('Inventory Report'!AF17,0,SQRChartBindings!$F$4,1,1)</f>
        <v>65000</v>
      </c>
      <c r="AB29" s="292">
        <f ca="1">OFFSET('Inventory Report'!AG17,0,SQRChartBindings!$F$4,1,1)</f>
        <v>70000</v>
      </c>
    </row>
    <row r="30" spans="1:28" ht="14.5">
      <c r="A30" s="294" t="s">
        <v>486</v>
      </c>
      <c r="B30" s="292">
        <v>18</v>
      </c>
      <c r="D30" s="314" t="s">
        <v>300</v>
      </c>
      <c r="E30" s="292">
        <f ca="1">OFFSET('Inventory Report'!J18,0,SQRChartBindings!$F$4,1,1)</f>
        <v>0</v>
      </c>
      <c r="F30" s="292">
        <f ca="1">OFFSET('Inventory Report'!K18,0,SQRChartBindings!$F$4,1,1)</f>
        <v>0</v>
      </c>
      <c r="G30" s="292">
        <f ca="1">OFFSET('Inventory Report'!L18,0,SQRChartBindings!$F$4,1,1)</f>
        <v>0</v>
      </c>
      <c r="H30" s="292">
        <f ca="1">OFFSET('Inventory Report'!M18,0,SQRChartBindings!$F$4,1,1)</f>
        <v>0</v>
      </c>
      <c r="I30" s="292">
        <f ca="1">OFFSET('Inventory Report'!N18,0,SQRChartBindings!$F$4,1,1)</f>
        <v>0</v>
      </c>
      <c r="J30" s="292">
        <f ca="1">OFFSET('Inventory Report'!O18,0,SQRChartBindings!$F$4,1,1)</f>
        <v>0</v>
      </c>
      <c r="K30" s="292">
        <f ca="1">OFFSET('Inventory Report'!P18,0,SQRChartBindings!$F$4,1,1)</f>
        <v>0</v>
      </c>
      <c r="L30" s="292">
        <f ca="1">OFFSET('Inventory Report'!Q18,0,SQRChartBindings!$F$4,1,1)</f>
        <v>0</v>
      </c>
      <c r="M30" s="292">
        <f ca="1">OFFSET('Inventory Report'!R18,0,SQRChartBindings!$F$4,1,1)</f>
        <v>0</v>
      </c>
      <c r="N30" s="292">
        <f ca="1">OFFSET('Inventory Report'!S18,0,SQRChartBindings!$F$4,1,1)</f>
        <v>0</v>
      </c>
      <c r="O30" s="292">
        <f ca="1">OFFSET('Inventory Report'!T18,0,SQRChartBindings!$F$4,1,1)</f>
        <v>0</v>
      </c>
      <c r="P30" s="292">
        <f ca="1">OFFSET('Inventory Report'!U18,0,SQRChartBindings!$F$4,1,1)</f>
        <v>0</v>
      </c>
      <c r="Q30" s="292">
        <f ca="1">OFFSET('Inventory Report'!V18,0,SQRChartBindings!$F$4,1,1)</f>
        <v>0</v>
      </c>
      <c r="R30" s="292">
        <f ca="1">OFFSET('Inventory Report'!W18,0,SQRChartBindings!$F$4,1,1)</f>
        <v>0</v>
      </c>
      <c r="S30" s="292">
        <f ca="1">OFFSET('Inventory Report'!X18,0,SQRChartBindings!$F$4,1,1)</f>
        <v>0</v>
      </c>
      <c r="T30" s="292">
        <f ca="1">OFFSET('Inventory Report'!Y18,0,SQRChartBindings!$F$4,1,1)</f>
        <v>0</v>
      </c>
      <c r="U30" s="292">
        <f ca="1">OFFSET('Inventory Report'!Z18,0,SQRChartBindings!$F$4,1,1)</f>
        <v>0</v>
      </c>
      <c r="V30" s="292">
        <f ca="1">OFFSET('Inventory Report'!AA18,0,SQRChartBindings!$F$4,1,1)</f>
        <v>0</v>
      </c>
      <c r="W30" s="292">
        <f ca="1">OFFSET('Inventory Report'!AB18,0,SQRChartBindings!$F$4,1,1)</f>
        <v>0</v>
      </c>
      <c r="X30" s="292">
        <f ca="1">OFFSET('Inventory Report'!AC18,0,SQRChartBindings!$F$4,1,1)</f>
        <v>0</v>
      </c>
      <c r="Y30" s="292">
        <f ca="1">OFFSET('Inventory Report'!AD18,0,SQRChartBindings!$F$4,1,1)</f>
        <v>0</v>
      </c>
      <c r="Z30" s="292">
        <f ca="1">OFFSET('Inventory Report'!AE18,0,SQRChartBindings!$F$4,1,1)</f>
        <v>0</v>
      </c>
      <c r="AA30" s="292">
        <f ca="1">OFFSET('Inventory Report'!AF18,0,SQRChartBindings!$F$4,1,1)</f>
        <v>0</v>
      </c>
      <c r="AB30" s="292">
        <f ca="1">OFFSET('Inventory Report'!AG18,0,SQRChartBindings!$F$4,1,1)</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15521-3B9E-43D5-8FE4-52351BC93D1C}">
  <sheetPr codeName="Sheet50"/>
  <dimension ref="A1:IR70"/>
  <sheetViews>
    <sheetView workbookViewId="0"/>
  </sheetViews>
  <sheetFormatPr defaultColWidth="20.33203125" defaultRowHeight="13"/>
  <cols>
    <col min="1" max="1" width="8.21875" style="316" customWidth="1"/>
    <col min="2" max="2" width="58.33203125" style="316" customWidth="1"/>
    <col min="3" max="3" width="8.21875" style="316" customWidth="1"/>
    <col min="4" max="6" width="38.77734375" style="316" customWidth="1"/>
    <col min="7" max="7" width="40" style="316" customWidth="1"/>
    <col min="8" max="8" width="46.109375" style="316" customWidth="1"/>
    <col min="9" max="16384" width="20.33203125" style="316"/>
  </cols>
  <sheetData>
    <row r="1" spans="1:252" ht="15">
      <c r="A1" s="292"/>
      <c r="B1" s="292"/>
      <c r="C1" s="292"/>
      <c r="D1" s="292"/>
      <c r="E1" s="292"/>
      <c r="F1" s="292"/>
      <c r="G1" s="292"/>
      <c r="H1" s="292"/>
      <c r="I1" s="292"/>
      <c r="J1" s="292"/>
      <c r="K1" s="315"/>
      <c r="L1" s="315"/>
      <c r="M1" s="315"/>
      <c r="N1" s="315"/>
      <c r="O1" s="315"/>
      <c r="P1" s="315"/>
      <c r="Q1" s="315"/>
      <c r="R1" s="315"/>
      <c r="S1" s="315"/>
      <c r="T1" s="315"/>
      <c r="U1" s="315"/>
      <c r="V1" s="315"/>
      <c r="W1" s="315"/>
      <c r="X1" s="315"/>
      <c r="Y1" s="315"/>
      <c r="Z1" s="315"/>
      <c r="AA1" s="315"/>
      <c r="AB1" s="315"/>
      <c r="AC1" s="315"/>
      <c r="AD1" s="315"/>
      <c r="AE1" s="315"/>
      <c r="AF1" s="315"/>
      <c r="AG1" s="315"/>
      <c r="AH1" s="315"/>
      <c r="AI1" s="315"/>
      <c r="AJ1" s="315"/>
      <c r="AK1" s="315"/>
      <c r="AL1" s="315"/>
      <c r="AM1" s="315"/>
      <c r="AN1" s="315"/>
      <c r="AO1" s="315"/>
      <c r="AP1" s="315"/>
      <c r="AQ1" s="315"/>
      <c r="AR1" s="315"/>
      <c r="AS1" s="315"/>
      <c r="AT1" s="315"/>
      <c r="AU1" s="315"/>
      <c r="AV1" s="315"/>
      <c r="AW1" s="315"/>
      <c r="AX1" s="315"/>
      <c r="AY1" s="315"/>
      <c r="AZ1" s="315"/>
      <c r="BA1" s="315"/>
      <c r="BB1" s="315"/>
      <c r="BC1" s="315"/>
      <c r="BD1" s="315"/>
      <c r="BE1" s="315"/>
      <c r="BF1" s="315"/>
      <c r="BG1" s="315"/>
      <c r="BH1" s="315"/>
      <c r="BI1" s="315"/>
      <c r="BJ1" s="315"/>
      <c r="BK1" s="315"/>
      <c r="BL1" s="315"/>
      <c r="BM1" s="315"/>
      <c r="BN1" s="315"/>
      <c r="BO1" s="315"/>
      <c r="BP1" s="315"/>
      <c r="BQ1" s="315"/>
      <c r="BR1" s="315"/>
      <c r="BS1" s="315"/>
      <c r="BT1" s="315"/>
      <c r="BU1" s="315"/>
      <c r="BV1" s="315"/>
      <c r="BW1" s="315"/>
      <c r="BX1" s="315"/>
      <c r="BY1" s="315"/>
      <c r="BZ1" s="315"/>
      <c r="CA1" s="315"/>
      <c r="CB1" s="315"/>
      <c r="CC1" s="315"/>
      <c r="CD1" s="315"/>
      <c r="CE1" s="315"/>
      <c r="CF1" s="315"/>
      <c r="CG1" s="315"/>
      <c r="CH1" s="315"/>
      <c r="CI1" s="315"/>
      <c r="CJ1" s="315"/>
      <c r="CK1" s="315"/>
      <c r="CL1" s="315"/>
      <c r="CM1" s="315"/>
      <c r="CN1" s="315"/>
      <c r="CO1" s="315"/>
      <c r="CP1" s="315"/>
      <c r="CQ1" s="315"/>
      <c r="CR1" s="315"/>
      <c r="CS1" s="315"/>
      <c r="CT1" s="315"/>
      <c r="CU1" s="315"/>
      <c r="CV1" s="315"/>
      <c r="CW1" s="315"/>
      <c r="CX1" s="315"/>
      <c r="CY1" s="315"/>
      <c r="CZ1" s="315"/>
      <c r="DA1" s="315"/>
      <c r="DB1" s="315"/>
      <c r="DC1" s="315"/>
      <c r="DD1" s="315"/>
      <c r="DE1" s="315"/>
      <c r="DF1" s="315"/>
      <c r="DG1" s="315"/>
      <c r="DH1" s="315"/>
      <c r="DI1" s="315"/>
      <c r="DJ1" s="315"/>
      <c r="DK1" s="315"/>
      <c r="DL1" s="315"/>
      <c r="DM1" s="315"/>
      <c r="DN1" s="315"/>
      <c r="DO1" s="315"/>
      <c r="DP1" s="315"/>
      <c r="DQ1" s="315"/>
      <c r="DR1" s="315"/>
      <c r="DS1" s="315"/>
      <c r="DT1" s="315"/>
      <c r="DU1" s="315"/>
      <c r="DV1" s="315"/>
      <c r="DW1" s="315"/>
      <c r="DX1" s="315"/>
      <c r="DY1" s="315"/>
      <c r="DZ1" s="315"/>
      <c r="EA1" s="315"/>
      <c r="EB1" s="315"/>
      <c r="EC1" s="315"/>
      <c r="ED1" s="315"/>
      <c r="EE1" s="315"/>
      <c r="EF1" s="315"/>
      <c r="EG1" s="315"/>
      <c r="EH1" s="315"/>
      <c r="EI1" s="315"/>
      <c r="EJ1" s="315"/>
      <c r="EK1" s="315"/>
      <c r="EL1" s="315"/>
      <c r="EM1" s="315"/>
      <c r="EN1" s="315"/>
      <c r="EO1" s="315"/>
      <c r="EP1" s="315"/>
      <c r="EQ1" s="315"/>
      <c r="ER1" s="315"/>
      <c r="ES1" s="315"/>
      <c r="ET1" s="315"/>
      <c r="EU1" s="315"/>
      <c r="EV1" s="315"/>
      <c r="EW1" s="315"/>
      <c r="EX1" s="315"/>
      <c r="EY1" s="315"/>
      <c r="EZ1" s="315"/>
      <c r="FA1" s="315"/>
      <c r="FB1" s="315"/>
      <c r="FC1" s="315"/>
      <c r="FD1" s="315"/>
      <c r="FE1" s="315"/>
      <c r="FF1" s="315"/>
      <c r="FG1" s="315"/>
      <c r="FH1" s="315"/>
      <c r="FI1" s="315"/>
      <c r="FJ1" s="315"/>
      <c r="FK1" s="315"/>
      <c r="FL1" s="315"/>
      <c r="FM1" s="315"/>
      <c r="FN1" s="315"/>
      <c r="FO1" s="315"/>
      <c r="FP1" s="315"/>
      <c r="FQ1" s="315"/>
      <c r="FR1" s="315"/>
      <c r="FS1" s="315"/>
      <c r="FT1" s="315"/>
      <c r="FU1" s="315"/>
      <c r="FV1" s="315"/>
      <c r="FW1" s="315"/>
      <c r="FX1" s="315"/>
      <c r="FY1" s="315"/>
      <c r="FZ1" s="315"/>
      <c r="GA1" s="315"/>
      <c r="GB1" s="315"/>
      <c r="GC1" s="315"/>
      <c r="GD1" s="315"/>
      <c r="GE1" s="315"/>
      <c r="GF1" s="315"/>
      <c r="GG1" s="315"/>
      <c r="GH1" s="315"/>
      <c r="GI1" s="315"/>
      <c r="GJ1" s="315"/>
      <c r="GK1" s="315"/>
      <c r="GL1" s="315"/>
      <c r="GM1" s="315"/>
      <c r="GN1" s="315"/>
      <c r="GO1" s="315"/>
      <c r="GP1" s="315"/>
      <c r="GQ1" s="315"/>
      <c r="GR1" s="315"/>
      <c r="GS1" s="315"/>
      <c r="GT1" s="315"/>
      <c r="GU1" s="315"/>
      <c r="GV1" s="315"/>
      <c r="GW1" s="315"/>
      <c r="GX1" s="315"/>
      <c r="GY1" s="315"/>
      <c r="GZ1" s="315"/>
      <c r="HA1" s="315"/>
      <c r="HB1" s="315"/>
      <c r="HC1" s="315"/>
      <c r="HD1" s="315"/>
      <c r="HE1" s="315"/>
      <c r="HF1" s="315"/>
      <c r="HG1" s="315"/>
      <c r="HH1" s="315"/>
      <c r="HI1" s="315"/>
      <c r="HJ1" s="315"/>
      <c r="HK1" s="315"/>
      <c r="HL1" s="315"/>
      <c r="HM1" s="315"/>
      <c r="HN1" s="315"/>
      <c r="HO1" s="315"/>
      <c r="HP1" s="315"/>
      <c r="HQ1" s="315"/>
      <c r="HR1" s="315"/>
      <c r="HS1" s="315"/>
      <c r="HT1" s="315"/>
      <c r="HU1" s="315"/>
      <c r="HV1" s="315"/>
      <c r="HW1" s="315"/>
      <c r="HX1" s="315"/>
      <c r="HY1" s="315"/>
      <c r="HZ1" s="315"/>
      <c r="IA1" s="315"/>
      <c r="IB1" s="315"/>
      <c r="IC1" s="315"/>
      <c r="ID1" s="315"/>
      <c r="IE1" s="315"/>
      <c r="IF1" s="315"/>
      <c r="IG1" s="315"/>
      <c r="IH1" s="315"/>
      <c r="II1" s="315"/>
      <c r="IJ1" s="315"/>
      <c r="IK1" s="315"/>
      <c r="IL1" s="315"/>
      <c r="IM1" s="315"/>
      <c r="IN1" s="315"/>
      <c r="IO1" s="315"/>
      <c r="IP1" s="315"/>
      <c r="IQ1" s="315"/>
      <c r="IR1" s="315"/>
    </row>
    <row r="2" spans="1:252" ht="14.5">
      <c r="A2" s="294"/>
      <c r="B2" s="317" t="s">
        <v>477</v>
      </c>
      <c r="C2" s="292"/>
      <c r="D2" s="318">
        <f>'Income Statement Ann'!J2</f>
        <v>45412</v>
      </c>
      <c r="E2" s="318">
        <f>'Income Statement Ann'!K2</f>
        <v>45777</v>
      </c>
      <c r="F2" s="318">
        <f>'Income Statement Ann'!L2</f>
        <v>46142</v>
      </c>
      <c r="G2" s="318">
        <f>'Income Statement Ann'!M2</f>
        <v>46507</v>
      </c>
      <c r="H2" s="318">
        <f>'Income Statement Ann'!N2</f>
        <v>46873</v>
      </c>
      <c r="I2" s="294"/>
    </row>
    <row r="3" spans="1:252" ht="15">
      <c r="A3" s="292"/>
      <c r="B3" s="292"/>
      <c r="C3" s="292"/>
      <c r="D3" s="319"/>
      <c r="E3" s="319"/>
      <c r="F3" s="319"/>
      <c r="G3" s="319"/>
      <c r="H3" s="319"/>
      <c r="I3" s="292"/>
      <c r="J3" s="292"/>
      <c r="K3" s="315"/>
      <c r="L3" s="315"/>
      <c r="M3" s="315"/>
      <c r="N3" s="315"/>
      <c r="O3" s="315"/>
      <c r="P3" s="315"/>
      <c r="Q3" s="315"/>
      <c r="R3" s="315"/>
      <c r="S3" s="315"/>
      <c r="T3" s="315"/>
      <c r="U3" s="315"/>
      <c r="V3" s="315"/>
      <c r="W3" s="315"/>
      <c r="X3" s="315"/>
      <c r="Y3" s="315"/>
      <c r="Z3" s="315"/>
      <c r="AA3" s="315"/>
      <c r="AB3" s="315"/>
      <c r="AC3" s="315"/>
      <c r="AD3" s="315"/>
      <c r="AE3" s="315"/>
      <c r="AF3" s="315"/>
      <c r="AG3" s="315"/>
      <c r="AH3" s="315"/>
      <c r="AI3" s="315"/>
      <c r="AJ3" s="315"/>
      <c r="AK3" s="315"/>
      <c r="AL3" s="315"/>
      <c r="AM3" s="315"/>
      <c r="AN3" s="315"/>
      <c r="AO3" s="315"/>
      <c r="AP3" s="315"/>
      <c r="AQ3" s="315"/>
      <c r="AR3" s="315"/>
      <c r="AS3" s="315"/>
      <c r="AT3" s="315"/>
      <c r="AU3" s="315"/>
      <c r="AV3" s="315"/>
      <c r="AW3" s="315"/>
      <c r="AX3" s="315"/>
      <c r="AY3" s="315"/>
      <c r="AZ3" s="315"/>
      <c r="BA3" s="315"/>
      <c r="BB3" s="315"/>
      <c r="BC3" s="315"/>
      <c r="BD3" s="315"/>
      <c r="BE3" s="315"/>
      <c r="BF3" s="315"/>
      <c r="BG3" s="315"/>
      <c r="BH3" s="315"/>
      <c r="BI3" s="315"/>
      <c r="BJ3" s="315"/>
      <c r="BK3" s="315"/>
      <c r="BL3" s="315"/>
      <c r="BM3" s="315"/>
      <c r="BN3" s="315"/>
      <c r="BO3" s="315"/>
      <c r="BP3" s="315"/>
      <c r="BQ3" s="315"/>
      <c r="BR3" s="315"/>
      <c r="BS3" s="315"/>
      <c r="BT3" s="315"/>
      <c r="BU3" s="315"/>
      <c r="BV3" s="315"/>
      <c r="BW3" s="315"/>
      <c r="BX3" s="315"/>
      <c r="BY3" s="315"/>
      <c r="BZ3" s="315"/>
      <c r="CA3" s="315"/>
      <c r="CB3" s="315"/>
      <c r="CC3" s="315"/>
      <c r="CD3" s="315"/>
      <c r="CE3" s="315"/>
      <c r="CF3" s="315"/>
      <c r="CG3" s="315"/>
      <c r="CH3" s="315"/>
      <c r="CI3" s="315"/>
      <c r="CJ3" s="315"/>
      <c r="CK3" s="315"/>
      <c r="CL3" s="315"/>
      <c r="CM3" s="315"/>
      <c r="CN3" s="315"/>
      <c r="CO3" s="315"/>
      <c r="CP3" s="315"/>
      <c r="CQ3" s="315"/>
      <c r="CR3" s="315"/>
      <c r="CS3" s="315"/>
      <c r="CT3" s="315"/>
      <c r="CU3" s="315"/>
      <c r="CV3" s="315"/>
      <c r="CW3" s="315"/>
      <c r="CX3" s="315"/>
      <c r="CY3" s="315"/>
      <c r="CZ3" s="315"/>
      <c r="DA3" s="315"/>
      <c r="DB3" s="315"/>
      <c r="DC3" s="315"/>
      <c r="DD3" s="315"/>
      <c r="DE3" s="315"/>
      <c r="DF3" s="315"/>
      <c r="DG3" s="315"/>
      <c r="DH3" s="315"/>
      <c r="DI3" s="315"/>
      <c r="DJ3" s="315"/>
      <c r="DK3" s="315"/>
      <c r="DL3" s="315"/>
      <c r="DM3" s="315"/>
      <c r="DN3" s="315"/>
      <c r="DO3" s="315"/>
      <c r="DP3" s="315"/>
      <c r="DQ3" s="315"/>
      <c r="DR3" s="315"/>
      <c r="DS3" s="315"/>
      <c r="DT3" s="315"/>
      <c r="DU3" s="315"/>
      <c r="DV3" s="315"/>
      <c r="DW3" s="315"/>
      <c r="DX3" s="315"/>
      <c r="DY3" s="315"/>
      <c r="DZ3" s="315"/>
      <c r="EA3" s="315"/>
      <c r="EB3" s="315"/>
      <c r="EC3" s="315"/>
      <c r="ED3" s="315"/>
      <c r="EE3" s="315"/>
      <c r="EF3" s="315"/>
      <c r="EG3" s="315"/>
      <c r="EH3" s="315"/>
      <c r="EI3" s="315"/>
      <c r="EJ3" s="315"/>
      <c r="EK3" s="315"/>
      <c r="EL3" s="315"/>
      <c r="EM3" s="315"/>
      <c r="EN3" s="315"/>
      <c r="EO3" s="315"/>
      <c r="EP3" s="315"/>
      <c r="EQ3" s="315"/>
      <c r="ER3" s="315"/>
      <c r="ES3" s="315"/>
      <c r="ET3" s="315"/>
      <c r="EU3" s="315"/>
      <c r="EV3" s="315"/>
      <c r="EW3" s="315"/>
      <c r="EX3" s="315"/>
      <c r="EY3" s="315"/>
      <c r="EZ3" s="315"/>
      <c r="FA3" s="315"/>
      <c r="FB3" s="315"/>
      <c r="FC3" s="315"/>
      <c r="FD3" s="315"/>
      <c r="FE3" s="315"/>
      <c r="FF3" s="315"/>
      <c r="FG3" s="315"/>
      <c r="FH3" s="315"/>
      <c r="FI3" s="315"/>
      <c r="FJ3" s="315"/>
      <c r="FK3" s="315"/>
      <c r="FL3" s="315"/>
      <c r="FM3" s="315"/>
      <c r="FN3" s="315"/>
      <c r="FO3" s="315"/>
      <c r="FP3" s="315"/>
      <c r="FQ3" s="315"/>
      <c r="FR3" s="315"/>
      <c r="FS3" s="315"/>
      <c r="FT3" s="315"/>
      <c r="FU3" s="315"/>
      <c r="FV3" s="315"/>
      <c r="FW3" s="315"/>
      <c r="FX3" s="315"/>
      <c r="FY3" s="315"/>
      <c r="FZ3" s="315"/>
      <c r="GA3" s="315"/>
      <c r="GB3" s="315"/>
      <c r="GC3" s="315"/>
      <c r="GD3" s="315"/>
      <c r="GE3" s="315"/>
      <c r="GF3" s="315"/>
      <c r="GG3" s="315"/>
      <c r="GH3" s="315"/>
      <c r="GI3" s="315"/>
      <c r="GJ3" s="315"/>
      <c r="GK3" s="315"/>
      <c r="GL3" s="315"/>
      <c r="GM3" s="315"/>
      <c r="GN3" s="315"/>
      <c r="GO3" s="315"/>
      <c r="GP3" s="315"/>
      <c r="GQ3" s="315"/>
      <c r="GR3" s="315"/>
      <c r="GS3" s="315"/>
      <c r="GT3" s="315"/>
      <c r="GU3" s="315"/>
      <c r="GV3" s="315"/>
      <c r="GW3" s="315"/>
      <c r="GX3" s="315"/>
      <c r="GY3" s="315"/>
      <c r="GZ3" s="315"/>
      <c r="HA3" s="315"/>
      <c r="HB3" s="315"/>
      <c r="HC3" s="315"/>
      <c r="HD3" s="315"/>
      <c r="HE3" s="315"/>
      <c r="HF3" s="315"/>
      <c r="HG3" s="315"/>
      <c r="HH3" s="315"/>
      <c r="HI3" s="315"/>
      <c r="HJ3" s="315"/>
      <c r="HK3" s="315"/>
      <c r="HL3" s="315"/>
      <c r="HM3" s="315"/>
      <c r="HN3" s="315"/>
      <c r="HO3" s="315"/>
      <c r="HP3" s="315"/>
      <c r="HQ3" s="315"/>
      <c r="HR3" s="315"/>
      <c r="HS3" s="315"/>
      <c r="HT3" s="315"/>
      <c r="HU3" s="315"/>
      <c r="HV3" s="315"/>
      <c r="HW3" s="315"/>
      <c r="HX3" s="315"/>
      <c r="HY3" s="315"/>
      <c r="HZ3" s="315"/>
      <c r="IA3" s="315"/>
      <c r="IB3" s="315"/>
      <c r="IC3" s="315"/>
      <c r="ID3" s="315"/>
      <c r="IE3" s="315"/>
      <c r="IF3" s="315"/>
      <c r="IG3" s="315"/>
      <c r="IH3" s="315"/>
      <c r="II3" s="315"/>
      <c r="IJ3" s="315"/>
      <c r="IK3" s="315"/>
      <c r="IL3" s="315"/>
      <c r="IM3" s="315"/>
      <c r="IN3" s="315"/>
      <c r="IO3" s="315"/>
      <c r="IP3" s="315"/>
      <c r="IQ3" s="315"/>
      <c r="IR3" s="315"/>
    </row>
    <row r="4" spans="1:252" ht="15">
      <c r="A4" s="292"/>
      <c r="B4" s="320" t="str">
        <f>'Income Statement Ann'!E8</f>
        <v>Income</v>
      </c>
      <c r="C4" s="292"/>
      <c r="D4" s="321">
        <f ca="1">'Income Statement Ann'!J8</f>
        <v>4095000</v>
      </c>
      <c r="E4" s="321">
        <f ca="1">'Income Statement Ann'!K8</f>
        <v>22685354.186605372</v>
      </c>
      <c r="F4" s="321">
        <f ca="1">'Income Statement Ann'!L8</f>
        <v>48125000</v>
      </c>
      <c r="G4" s="321">
        <f ca="1">'Income Statement Ann'!M8</f>
        <v>108177103.53879324</v>
      </c>
      <c r="H4" s="321">
        <f ca="1">'Income Statement Ann'!N8</f>
        <v>228603184.21286434</v>
      </c>
      <c r="I4" s="292"/>
      <c r="J4" s="292"/>
      <c r="K4" s="315"/>
      <c r="L4" s="315"/>
      <c r="M4" s="315"/>
      <c r="N4" s="315"/>
      <c r="O4" s="315"/>
      <c r="P4" s="315"/>
      <c r="Q4" s="315"/>
      <c r="R4" s="315"/>
      <c r="S4" s="315"/>
      <c r="T4" s="315"/>
      <c r="U4" s="315"/>
      <c r="V4" s="315"/>
      <c r="W4" s="315"/>
      <c r="X4" s="315"/>
      <c r="Y4" s="315"/>
      <c r="Z4" s="315"/>
      <c r="AA4" s="315"/>
      <c r="AB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5"/>
      <c r="AZ4" s="315"/>
      <c r="BA4" s="315"/>
      <c r="BB4" s="315"/>
      <c r="BC4" s="315"/>
      <c r="BD4" s="315"/>
      <c r="BE4" s="315"/>
      <c r="BF4" s="315"/>
      <c r="BG4" s="315"/>
      <c r="BH4" s="315"/>
      <c r="BI4" s="315"/>
      <c r="BJ4" s="315"/>
      <c r="BK4" s="315"/>
      <c r="BL4" s="315"/>
      <c r="BM4" s="315"/>
      <c r="BN4" s="315"/>
      <c r="BO4" s="315"/>
      <c r="BP4" s="315"/>
      <c r="BQ4" s="315"/>
      <c r="BR4" s="315"/>
      <c r="BS4" s="315"/>
      <c r="BT4" s="315"/>
      <c r="BU4" s="315"/>
      <c r="BV4" s="315"/>
      <c r="BW4" s="315"/>
      <c r="BX4" s="315"/>
      <c r="BY4" s="315"/>
      <c r="BZ4" s="315"/>
      <c r="CA4" s="315"/>
      <c r="CB4" s="315"/>
      <c r="CC4" s="315"/>
      <c r="CD4" s="315"/>
      <c r="CE4" s="315"/>
      <c r="CF4" s="315"/>
      <c r="CG4" s="315"/>
      <c r="CH4" s="315"/>
      <c r="CI4" s="315"/>
      <c r="CJ4" s="315"/>
      <c r="CK4" s="315"/>
      <c r="CL4" s="315"/>
      <c r="CM4" s="315"/>
      <c r="CN4" s="315"/>
      <c r="CO4" s="315"/>
      <c r="CP4" s="315"/>
      <c r="CQ4" s="315"/>
      <c r="CR4" s="315"/>
      <c r="CS4" s="315"/>
      <c r="CT4" s="315"/>
      <c r="CU4" s="315"/>
      <c r="CV4" s="315"/>
      <c r="CW4" s="315"/>
      <c r="CX4" s="315"/>
      <c r="CY4" s="315"/>
      <c r="CZ4" s="315"/>
      <c r="DA4" s="315"/>
      <c r="DB4" s="315"/>
      <c r="DC4" s="315"/>
      <c r="DD4" s="315"/>
      <c r="DE4" s="315"/>
      <c r="DF4" s="315"/>
      <c r="DG4" s="315"/>
      <c r="DH4" s="315"/>
      <c r="DI4" s="315"/>
      <c r="DJ4" s="315"/>
      <c r="DK4" s="315"/>
      <c r="DL4" s="315"/>
      <c r="DM4" s="315"/>
      <c r="DN4" s="315"/>
      <c r="DO4" s="315"/>
      <c r="DP4" s="315"/>
      <c r="DQ4" s="315"/>
      <c r="DR4" s="315"/>
      <c r="DS4" s="315"/>
      <c r="DT4" s="315"/>
      <c r="DU4" s="315"/>
      <c r="DV4" s="315"/>
      <c r="DW4" s="315"/>
      <c r="DX4" s="315"/>
      <c r="DY4" s="315"/>
      <c r="DZ4" s="315"/>
      <c r="EA4" s="315"/>
      <c r="EB4" s="315"/>
      <c r="EC4" s="315"/>
      <c r="ED4" s="315"/>
      <c r="EE4" s="315"/>
      <c r="EF4" s="315"/>
      <c r="EG4" s="315"/>
      <c r="EH4" s="315"/>
      <c r="EI4" s="315"/>
      <c r="EJ4" s="315"/>
      <c r="EK4" s="315"/>
      <c r="EL4" s="315"/>
      <c r="EM4" s="315"/>
      <c r="EN4" s="315"/>
      <c r="EO4" s="315"/>
      <c r="EP4" s="315"/>
      <c r="EQ4" s="315"/>
      <c r="ER4" s="315"/>
      <c r="ES4" s="315"/>
      <c r="ET4" s="315"/>
      <c r="EU4" s="315"/>
      <c r="EV4" s="315"/>
      <c r="EW4" s="315"/>
      <c r="EX4" s="315"/>
      <c r="EY4" s="315"/>
      <c r="EZ4" s="315"/>
      <c r="FA4" s="315"/>
      <c r="FB4" s="315"/>
      <c r="FC4" s="315"/>
      <c r="FD4" s="315"/>
      <c r="FE4" s="315"/>
      <c r="FF4" s="315"/>
      <c r="FG4" s="315"/>
      <c r="FH4" s="315"/>
      <c r="FI4" s="315"/>
      <c r="FJ4" s="315"/>
      <c r="FK4" s="315"/>
      <c r="FL4" s="315"/>
      <c r="FM4" s="315"/>
      <c r="FN4" s="315"/>
      <c r="FO4" s="315"/>
      <c r="FP4" s="315"/>
      <c r="FQ4" s="315"/>
      <c r="FR4" s="315"/>
      <c r="FS4" s="315"/>
      <c r="FT4" s="315"/>
      <c r="FU4" s="315"/>
      <c r="FV4" s="315"/>
      <c r="FW4" s="315"/>
      <c r="FX4" s="315"/>
      <c r="FY4" s="315"/>
      <c r="FZ4" s="315"/>
      <c r="GA4" s="315"/>
      <c r="GB4" s="315"/>
      <c r="GC4" s="315"/>
      <c r="GD4" s="315"/>
      <c r="GE4" s="315"/>
      <c r="GF4" s="315"/>
      <c r="GG4" s="315"/>
      <c r="GH4" s="315"/>
      <c r="GI4" s="315"/>
      <c r="GJ4" s="315"/>
      <c r="GK4" s="315"/>
      <c r="GL4" s="315"/>
      <c r="GM4" s="315"/>
      <c r="GN4" s="315"/>
      <c r="GO4" s="315"/>
      <c r="GP4" s="315"/>
      <c r="GQ4" s="315"/>
      <c r="GR4" s="315"/>
      <c r="GS4" s="315"/>
      <c r="GT4" s="315"/>
      <c r="GU4" s="315"/>
      <c r="GV4" s="315"/>
      <c r="GW4" s="315"/>
      <c r="GX4" s="315"/>
      <c r="GY4" s="315"/>
      <c r="GZ4" s="315"/>
      <c r="HA4" s="315"/>
      <c r="HB4" s="315"/>
      <c r="HC4" s="315"/>
      <c r="HD4" s="315"/>
      <c r="HE4" s="315"/>
      <c r="HF4" s="315"/>
      <c r="HG4" s="315"/>
      <c r="HH4" s="315"/>
      <c r="HI4" s="315"/>
      <c r="HJ4" s="315"/>
      <c r="HK4" s="315"/>
      <c r="HL4" s="315"/>
      <c r="HM4" s="315"/>
      <c r="HN4" s="315"/>
      <c r="HO4" s="315"/>
      <c r="HP4" s="315"/>
      <c r="HQ4" s="315"/>
      <c r="HR4" s="315"/>
      <c r="HS4" s="315"/>
      <c r="HT4" s="315"/>
      <c r="HU4" s="315"/>
      <c r="HV4" s="315"/>
      <c r="HW4" s="315"/>
      <c r="HX4" s="315"/>
      <c r="HY4" s="315"/>
      <c r="HZ4" s="315"/>
      <c r="IA4" s="315"/>
      <c r="IB4" s="315"/>
      <c r="IC4" s="315"/>
      <c r="ID4" s="315"/>
      <c r="IE4" s="315"/>
      <c r="IF4" s="315"/>
      <c r="IG4" s="315"/>
      <c r="IH4" s="315"/>
      <c r="II4" s="315"/>
      <c r="IJ4" s="315"/>
      <c r="IK4" s="315"/>
      <c r="IL4" s="315"/>
      <c r="IM4" s="315"/>
      <c r="IN4" s="315"/>
      <c r="IO4" s="315"/>
      <c r="IP4" s="315"/>
      <c r="IQ4" s="315"/>
      <c r="IR4" s="315"/>
    </row>
    <row r="5" spans="1:252" ht="15">
      <c r="A5" s="292"/>
      <c r="B5" s="320" t="str">
        <f>'Income Statement Ann'!E9</f>
        <v xml:space="preserve">Variable Operating expense </v>
      </c>
      <c r="C5" s="292"/>
      <c r="D5" s="321">
        <f ca="1">'Income Statement Ann'!J9</f>
        <v>-1596000</v>
      </c>
      <c r="E5" s="321">
        <f ca="1">'Income Statement Ann'!K9</f>
        <v>-3741602.2864722121</v>
      </c>
      <c r="F5" s="321">
        <f ca="1">'Income Statement Ann'!L9</f>
        <v>-8919604.5729444269</v>
      </c>
      <c r="G5" s="321">
        <f ca="1">'Income Statement Ann'!M9</f>
        <v>-18333851.203713853</v>
      </c>
      <c r="H5" s="321">
        <f ca="1">'Income Statement Ann'!N9</f>
        <v>-36667702.407427721</v>
      </c>
      <c r="I5" s="292"/>
      <c r="J5" s="292"/>
      <c r="K5" s="315"/>
      <c r="L5" s="315"/>
      <c r="M5" s="315"/>
      <c r="N5" s="315"/>
      <c r="O5" s="315"/>
      <c r="P5" s="315"/>
      <c r="Q5" s="315"/>
      <c r="R5" s="315"/>
      <c r="S5" s="315"/>
      <c r="T5" s="315"/>
      <c r="U5" s="315"/>
      <c r="V5" s="315"/>
      <c r="W5" s="315"/>
      <c r="X5" s="315"/>
      <c r="Y5" s="315"/>
      <c r="Z5" s="315"/>
      <c r="AA5" s="315"/>
      <c r="AB5" s="315"/>
      <c r="AC5" s="315"/>
      <c r="AD5" s="315"/>
      <c r="AE5" s="315"/>
      <c r="AF5" s="315"/>
      <c r="AG5" s="315"/>
      <c r="AH5" s="315"/>
      <c r="AI5" s="315"/>
      <c r="AJ5" s="315"/>
      <c r="AK5" s="315"/>
      <c r="AL5" s="315"/>
      <c r="AM5" s="315"/>
      <c r="AN5" s="315"/>
      <c r="AO5" s="315"/>
      <c r="AP5" s="315"/>
      <c r="AQ5" s="315"/>
      <c r="AR5" s="315"/>
      <c r="AS5" s="315"/>
      <c r="AT5" s="315"/>
      <c r="AU5" s="315"/>
      <c r="AV5" s="315"/>
      <c r="AW5" s="315"/>
      <c r="AX5" s="315"/>
      <c r="AY5" s="315"/>
      <c r="AZ5" s="315"/>
      <c r="BA5" s="315"/>
      <c r="BB5" s="315"/>
      <c r="BC5" s="315"/>
      <c r="BD5" s="315"/>
      <c r="BE5" s="315"/>
      <c r="BF5" s="315"/>
      <c r="BG5" s="315"/>
      <c r="BH5" s="315"/>
      <c r="BI5" s="315"/>
      <c r="BJ5" s="315"/>
      <c r="BK5" s="315"/>
      <c r="BL5" s="315"/>
      <c r="BM5" s="315"/>
      <c r="BN5" s="315"/>
      <c r="BO5" s="315"/>
      <c r="BP5" s="315"/>
      <c r="BQ5" s="315"/>
      <c r="BR5" s="315"/>
      <c r="BS5" s="315"/>
      <c r="BT5" s="315"/>
      <c r="BU5" s="315"/>
      <c r="BV5" s="315"/>
      <c r="BW5" s="315"/>
      <c r="BX5" s="315"/>
      <c r="BY5" s="315"/>
      <c r="BZ5" s="315"/>
      <c r="CA5" s="315"/>
      <c r="CB5" s="315"/>
      <c r="CC5" s="315"/>
      <c r="CD5" s="315"/>
      <c r="CE5" s="315"/>
      <c r="CF5" s="315"/>
      <c r="CG5" s="315"/>
      <c r="CH5" s="315"/>
      <c r="CI5" s="315"/>
      <c r="CJ5" s="315"/>
      <c r="CK5" s="315"/>
      <c r="CL5" s="315"/>
      <c r="CM5" s="315"/>
      <c r="CN5" s="315"/>
      <c r="CO5" s="315"/>
      <c r="CP5" s="315"/>
      <c r="CQ5" s="315"/>
      <c r="CR5" s="315"/>
      <c r="CS5" s="315"/>
      <c r="CT5" s="315"/>
      <c r="CU5" s="315"/>
      <c r="CV5" s="315"/>
      <c r="CW5" s="315"/>
      <c r="CX5" s="315"/>
      <c r="CY5" s="315"/>
      <c r="CZ5" s="315"/>
      <c r="DA5" s="315"/>
      <c r="DB5" s="315"/>
      <c r="DC5" s="315"/>
      <c r="DD5" s="315"/>
      <c r="DE5" s="315"/>
      <c r="DF5" s="315"/>
      <c r="DG5" s="315"/>
      <c r="DH5" s="315"/>
      <c r="DI5" s="315"/>
      <c r="DJ5" s="315"/>
      <c r="DK5" s="315"/>
      <c r="DL5" s="315"/>
      <c r="DM5" s="315"/>
      <c r="DN5" s="315"/>
      <c r="DO5" s="315"/>
      <c r="DP5" s="315"/>
      <c r="DQ5" s="315"/>
      <c r="DR5" s="315"/>
      <c r="DS5" s="315"/>
      <c r="DT5" s="315"/>
      <c r="DU5" s="315"/>
      <c r="DV5" s="315"/>
      <c r="DW5" s="315"/>
      <c r="DX5" s="315"/>
      <c r="DY5" s="315"/>
      <c r="DZ5" s="315"/>
      <c r="EA5" s="315"/>
      <c r="EB5" s="315"/>
      <c r="EC5" s="315"/>
      <c r="ED5" s="315"/>
      <c r="EE5" s="315"/>
      <c r="EF5" s="315"/>
      <c r="EG5" s="315"/>
      <c r="EH5" s="315"/>
      <c r="EI5" s="315"/>
      <c r="EJ5" s="315"/>
      <c r="EK5" s="315"/>
      <c r="EL5" s="315"/>
      <c r="EM5" s="315"/>
      <c r="EN5" s="315"/>
      <c r="EO5" s="315"/>
      <c r="EP5" s="315"/>
      <c r="EQ5" s="315"/>
      <c r="ER5" s="315"/>
      <c r="ES5" s="315"/>
      <c r="ET5" s="315"/>
      <c r="EU5" s="315"/>
      <c r="EV5" s="315"/>
      <c r="EW5" s="315"/>
      <c r="EX5" s="315"/>
      <c r="EY5" s="315"/>
      <c r="EZ5" s="315"/>
      <c r="FA5" s="315"/>
      <c r="FB5" s="315"/>
      <c r="FC5" s="315"/>
      <c r="FD5" s="315"/>
      <c r="FE5" s="315"/>
      <c r="FF5" s="315"/>
      <c r="FG5" s="315"/>
      <c r="FH5" s="315"/>
      <c r="FI5" s="315"/>
      <c r="FJ5" s="315"/>
      <c r="FK5" s="315"/>
      <c r="FL5" s="315"/>
      <c r="FM5" s="315"/>
      <c r="FN5" s="315"/>
      <c r="FO5" s="315"/>
      <c r="FP5" s="315"/>
      <c r="FQ5" s="315"/>
      <c r="FR5" s="315"/>
      <c r="FS5" s="315"/>
      <c r="FT5" s="315"/>
      <c r="FU5" s="315"/>
      <c r="FV5" s="315"/>
      <c r="FW5" s="315"/>
      <c r="FX5" s="315"/>
      <c r="FY5" s="315"/>
      <c r="FZ5" s="315"/>
      <c r="GA5" s="315"/>
      <c r="GB5" s="315"/>
      <c r="GC5" s="315"/>
      <c r="GD5" s="315"/>
      <c r="GE5" s="315"/>
      <c r="GF5" s="315"/>
      <c r="GG5" s="315"/>
      <c r="GH5" s="315"/>
      <c r="GI5" s="315"/>
      <c r="GJ5" s="315"/>
      <c r="GK5" s="315"/>
      <c r="GL5" s="315"/>
      <c r="GM5" s="315"/>
      <c r="GN5" s="315"/>
      <c r="GO5" s="315"/>
      <c r="GP5" s="315"/>
      <c r="GQ5" s="315"/>
      <c r="GR5" s="315"/>
      <c r="GS5" s="315"/>
      <c r="GT5" s="315"/>
      <c r="GU5" s="315"/>
      <c r="GV5" s="315"/>
      <c r="GW5" s="315"/>
      <c r="GX5" s="315"/>
      <c r="GY5" s="315"/>
      <c r="GZ5" s="315"/>
      <c r="HA5" s="315"/>
      <c r="HB5" s="315"/>
      <c r="HC5" s="315"/>
      <c r="HD5" s="315"/>
      <c r="HE5" s="315"/>
      <c r="HF5" s="315"/>
      <c r="HG5" s="315"/>
      <c r="HH5" s="315"/>
      <c r="HI5" s="315"/>
      <c r="HJ5" s="315"/>
      <c r="HK5" s="315"/>
      <c r="HL5" s="315"/>
      <c r="HM5" s="315"/>
      <c r="HN5" s="315"/>
      <c r="HO5" s="315"/>
      <c r="HP5" s="315"/>
      <c r="HQ5" s="315"/>
      <c r="HR5" s="315"/>
      <c r="HS5" s="315"/>
      <c r="HT5" s="315"/>
      <c r="HU5" s="315"/>
      <c r="HV5" s="315"/>
      <c r="HW5" s="315"/>
      <c r="HX5" s="315"/>
      <c r="HY5" s="315"/>
      <c r="HZ5" s="315"/>
      <c r="IA5" s="315"/>
      <c r="IB5" s="315"/>
      <c r="IC5" s="315"/>
      <c r="ID5" s="315"/>
      <c r="IE5" s="315"/>
      <c r="IF5" s="315"/>
      <c r="IG5" s="315"/>
      <c r="IH5" s="315"/>
      <c r="II5" s="315"/>
      <c r="IJ5" s="315"/>
      <c r="IK5" s="315"/>
      <c r="IL5" s="315"/>
      <c r="IM5" s="315"/>
      <c r="IN5" s="315"/>
      <c r="IO5" s="315"/>
      <c r="IP5" s="315"/>
      <c r="IQ5" s="315"/>
      <c r="IR5" s="315"/>
    </row>
    <row r="6" spans="1:252" ht="15">
      <c r="A6" s="292"/>
      <c r="B6" s="320" t="str">
        <f>'Income Statement Ann'!E10</f>
        <v xml:space="preserve">Fixed operating expense </v>
      </c>
      <c r="C6" s="292"/>
      <c r="D6" s="321">
        <f>'Income Statement Ann'!J10</f>
        <v>-311119.85656664212</v>
      </c>
      <c r="E6" s="321">
        <f>'Income Statement Ann'!K10</f>
        <v>-342255.27154374332</v>
      </c>
      <c r="F6" s="321">
        <f>'Income Statement Ann'!L10</f>
        <v>-376480.98544824088</v>
      </c>
      <c r="G6" s="321">
        <f>'Income Statement Ann'!M10</f>
        <v>-414122.38472134311</v>
      </c>
      <c r="H6" s="321">
        <f>'Income Statement Ann'!N10</f>
        <v>-455505.66544633987</v>
      </c>
      <c r="I6" s="292"/>
      <c r="J6" s="292"/>
      <c r="K6" s="315"/>
      <c r="L6" s="315"/>
      <c r="M6" s="315"/>
      <c r="N6" s="315"/>
      <c r="O6" s="315"/>
      <c r="P6" s="315"/>
      <c r="Q6" s="315"/>
      <c r="R6" s="315"/>
      <c r="S6" s="315"/>
      <c r="T6" s="315"/>
      <c r="U6" s="315"/>
      <c r="V6" s="315"/>
      <c r="W6" s="315"/>
      <c r="X6" s="315"/>
      <c r="Y6" s="315"/>
      <c r="Z6" s="315"/>
      <c r="AA6" s="315"/>
      <c r="AB6" s="315"/>
      <c r="AC6" s="315"/>
      <c r="AD6" s="315"/>
      <c r="AE6" s="315"/>
      <c r="AF6" s="315"/>
      <c r="AG6" s="315"/>
      <c r="AH6" s="315"/>
      <c r="AI6" s="315"/>
      <c r="AJ6" s="315"/>
      <c r="AK6" s="315"/>
      <c r="AL6" s="315"/>
      <c r="AM6" s="315"/>
      <c r="AN6" s="315"/>
      <c r="AO6" s="315"/>
      <c r="AP6" s="315"/>
      <c r="AQ6" s="315"/>
      <c r="AR6" s="315"/>
      <c r="AS6" s="315"/>
      <c r="AT6" s="315"/>
      <c r="AU6" s="315"/>
      <c r="AV6" s="315"/>
      <c r="AW6" s="315"/>
      <c r="AX6" s="315"/>
      <c r="AY6" s="315"/>
      <c r="AZ6" s="315"/>
      <c r="BA6" s="315"/>
      <c r="BB6" s="315"/>
      <c r="BC6" s="315"/>
      <c r="BD6" s="315"/>
      <c r="BE6" s="315"/>
      <c r="BF6" s="315"/>
      <c r="BG6" s="315"/>
      <c r="BH6" s="315"/>
      <c r="BI6" s="315"/>
      <c r="BJ6" s="315"/>
      <c r="BK6" s="315"/>
      <c r="BL6" s="315"/>
      <c r="BM6" s="315"/>
      <c r="BN6" s="315"/>
      <c r="BO6" s="315"/>
      <c r="BP6" s="315"/>
      <c r="BQ6" s="315"/>
      <c r="BR6" s="315"/>
      <c r="BS6" s="315"/>
      <c r="BT6" s="315"/>
      <c r="BU6" s="315"/>
      <c r="BV6" s="315"/>
      <c r="BW6" s="315"/>
      <c r="BX6" s="315"/>
      <c r="BY6" s="315"/>
      <c r="BZ6" s="315"/>
      <c r="CA6" s="315"/>
      <c r="CB6" s="315"/>
      <c r="CC6" s="315"/>
      <c r="CD6" s="315"/>
      <c r="CE6" s="315"/>
      <c r="CF6" s="315"/>
      <c r="CG6" s="315"/>
      <c r="CH6" s="315"/>
      <c r="CI6" s="315"/>
      <c r="CJ6" s="315"/>
      <c r="CK6" s="315"/>
      <c r="CL6" s="315"/>
      <c r="CM6" s="315"/>
      <c r="CN6" s="315"/>
      <c r="CO6" s="315"/>
      <c r="CP6" s="315"/>
      <c r="CQ6" s="315"/>
      <c r="CR6" s="315"/>
      <c r="CS6" s="315"/>
      <c r="CT6" s="315"/>
      <c r="CU6" s="315"/>
      <c r="CV6" s="315"/>
      <c r="CW6" s="315"/>
      <c r="CX6" s="315"/>
      <c r="CY6" s="315"/>
      <c r="CZ6" s="315"/>
      <c r="DA6" s="315"/>
      <c r="DB6" s="315"/>
      <c r="DC6" s="315"/>
      <c r="DD6" s="315"/>
      <c r="DE6" s="315"/>
      <c r="DF6" s="315"/>
      <c r="DG6" s="315"/>
      <c r="DH6" s="315"/>
      <c r="DI6" s="315"/>
      <c r="DJ6" s="315"/>
      <c r="DK6" s="315"/>
      <c r="DL6" s="315"/>
      <c r="DM6" s="315"/>
      <c r="DN6" s="315"/>
      <c r="DO6" s="315"/>
      <c r="DP6" s="315"/>
      <c r="DQ6" s="315"/>
      <c r="DR6" s="315"/>
      <c r="DS6" s="315"/>
      <c r="DT6" s="315"/>
      <c r="DU6" s="315"/>
      <c r="DV6" s="315"/>
      <c r="DW6" s="315"/>
      <c r="DX6" s="315"/>
      <c r="DY6" s="315"/>
      <c r="DZ6" s="315"/>
      <c r="EA6" s="315"/>
      <c r="EB6" s="315"/>
      <c r="EC6" s="315"/>
      <c r="ED6" s="315"/>
      <c r="EE6" s="315"/>
      <c r="EF6" s="315"/>
      <c r="EG6" s="315"/>
      <c r="EH6" s="315"/>
      <c r="EI6" s="315"/>
      <c r="EJ6" s="315"/>
      <c r="EK6" s="315"/>
      <c r="EL6" s="315"/>
      <c r="EM6" s="315"/>
      <c r="EN6" s="315"/>
      <c r="EO6" s="315"/>
      <c r="EP6" s="315"/>
      <c r="EQ6" s="315"/>
      <c r="ER6" s="315"/>
      <c r="ES6" s="315"/>
      <c r="ET6" s="315"/>
      <c r="EU6" s="315"/>
      <c r="EV6" s="315"/>
      <c r="EW6" s="315"/>
      <c r="EX6" s="315"/>
      <c r="EY6" s="315"/>
      <c r="EZ6" s="315"/>
      <c r="FA6" s="315"/>
      <c r="FB6" s="315"/>
      <c r="FC6" s="315"/>
      <c r="FD6" s="315"/>
      <c r="FE6" s="315"/>
      <c r="FF6" s="315"/>
      <c r="FG6" s="315"/>
      <c r="FH6" s="315"/>
      <c r="FI6" s="315"/>
      <c r="FJ6" s="315"/>
      <c r="FK6" s="315"/>
      <c r="FL6" s="315"/>
      <c r="FM6" s="315"/>
      <c r="FN6" s="315"/>
      <c r="FO6" s="315"/>
      <c r="FP6" s="315"/>
      <c r="FQ6" s="315"/>
      <c r="FR6" s="315"/>
      <c r="FS6" s="315"/>
      <c r="FT6" s="315"/>
      <c r="FU6" s="315"/>
      <c r="FV6" s="315"/>
      <c r="FW6" s="315"/>
      <c r="FX6" s="315"/>
      <c r="FY6" s="315"/>
      <c r="FZ6" s="315"/>
      <c r="GA6" s="315"/>
      <c r="GB6" s="315"/>
      <c r="GC6" s="315"/>
      <c r="GD6" s="315"/>
      <c r="GE6" s="315"/>
      <c r="GF6" s="315"/>
      <c r="GG6" s="315"/>
      <c r="GH6" s="315"/>
      <c r="GI6" s="315"/>
      <c r="GJ6" s="315"/>
      <c r="GK6" s="315"/>
      <c r="GL6" s="315"/>
      <c r="GM6" s="315"/>
      <c r="GN6" s="315"/>
      <c r="GO6" s="315"/>
      <c r="GP6" s="315"/>
      <c r="GQ6" s="315"/>
      <c r="GR6" s="315"/>
      <c r="GS6" s="315"/>
      <c r="GT6" s="315"/>
      <c r="GU6" s="315"/>
      <c r="GV6" s="315"/>
      <c r="GW6" s="315"/>
      <c r="GX6" s="315"/>
      <c r="GY6" s="315"/>
      <c r="GZ6" s="315"/>
      <c r="HA6" s="315"/>
      <c r="HB6" s="315"/>
      <c r="HC6" s="315"/>
      <c r="HD6" s="315"/>
      <c r="HE6" s="315"/>
      <c r="HF6" s="315"/>
      <c r="HG6" s="315"/>
      <c r="HH6" s="315"/>
      <c r="HI6" s="315"/>
      <c r="HJ6" s="315"/>
      <c r="HK6" s="315"/>
      <c r="HL6" s="315"/>
      <c r="HM6" s="315"/>
      <c r="HN6" s="315"/>
      <c r="HO6" s="315"/>
      <c r="HP6" s="315"/>
      <c r="HQ6" s="315"/>
      <c r="HR6" s="315"/>
      <c r="HS6" s="315"/>
      <c r="HT6" s="315"/>
      <c r="HU6" s="315"/>
      <c r="HV6" s="315"/>
      <c r="HW6" s="315"/>
      <c r="HX6" s="315"/>
      <c r="HY6" s="315"/>
      <c r="HZ6" s="315"/>
      <c r="IA6" s="315"/>
      <c r="IB6" s="315"/>
      <c r="IC6" s="315"/>
      <c r="ID6" s="315"/>
      <c r="IE6" s="315"/>
      <c r="IF6" s="315"/>
      <c r="IG6" s="315"/>
      <c r="IH6" s="315"/>
      <c r="II6" s="315"/>
      <c r="IJ6" s="315"/>
      <c r="IK6" s="315"/>
      <c r="IL6" s="315"/>
      <c r="IM6" s="315"/>
      <c r="IN6" s="315"/>
      <c r="IO6" s="315"/>
      <c r="IP6" s="315"/>
      <c r="IQ6" s="315"/>
      <c r="IR6" s="315"/>
    </row>
    <row r="7" spans="1:252" s="326" customFormat="1" ht="14.5">
      <c r="A7" s="316"/>
      <c r="B7" s="322" t="str">
        <f>'Income Statement Ann'!E11</f>
        <v>EBITDA</v>
      </c>
      <c r="C7" s="323"/>
      <c r="D7" s="324">
        <f ca="1">'Income Statement Ann'!J11</f>
        <v>2187880.1434333581</v>
      </c>
      <c r="E7" s="324">
        <f ca="1">'Income Statement Ann'!K11</f>
        <v>18601496.628589414</v>
      </c>
      <c r="F7" s="324">
        <f ca="1">'Income Statement Ann'!L11</f>
        <v>38828914.441607341</v>
      </c>
      <c r="G7" s="324">
        <f ca="1">'Income Statement Ann'!M11</f>
        <v>89429129.950358033</v>
      </c>
      <c r="H7" s="324">
        <f ca="1">'Income Statement Ann'!N11</f>
        <v>191479976.1399903</v>
      </c>
      <c r="I7" s="316"/>
      <c r="J7" s="316"/>
      <c r="K7" s="316"/>
      <c r="L7" s="325"/>
      <c r="M7" s="325"/>
      <c r="N7" s="325"/>
      <c r="O7" s="325"/>
      <c r="P7" s="325"/>
      <c r="Q7" s="325"/>
      <c r="R7" s="325"/>
      <c r="S7" s="325"/>
      <c r="T7" s="325"/>
      <c r="U7" s="325"/>
      <c r="V7" s="325"/>
      <c r="W7" s="325"/>
      <c r="X7" s="325"/>
      <c r="Y7" s="325"/>
      <c r="Z7" s="325"/>
      <c r="AA7" s="325"/>
      <c r="AB7" s="325"/>
      <c r="AC7" s="325"/>
      <c r="AD7" s="325"/>
      <c r="AE7" s="325"/>
      <c r="AF7" s="325"/>
      <c r="AG7" s="325"/>
      <c r="AH7" s="325"/>
      <c r="AI7" s="325"/>
      <c r="AJ7" s="325"/>
      <c r="AK7" s="325"/>
      <c r="AL7" s="325"/>
      <c r="AM7" s="325"/>
      <c r="AN7" s="325"/>
      <c r="AO7" s="325"/>
      <c r="AP7" s="325"/>
      <c r="AQ7" s="325"/>
      <c r="AR7" s="325"/>
      <c r="AS7" s="325"/>
      <c r="AT7" s="325"/>
      <c r="AU7" s="325"/>
      <c r="AV7" s="325"/>
      <c r="AW7" s="325"/>
      <c r="AX7" s="325"/>
      <c r="AY7" s="325"/>
      <c r="AZ7" s="325"/>
      <c r="BA7" s="325"/>
      <c r="BB7" s="325"/>
      <c r="BC7" s="325"/>
      <c r="BD7" s="325"/>
      <c r="BE7" s="325"/>
      <c r="BF7" s="325"/>
      <c r="BG7" s="325"/>
      <c r="BH7" s="325"/>
      <c r="BI7" s="325"/>
      <c r="BJ7" s="325"/>
      <c r="BK7" s="325"/>
      <c r="BL7" s="325"/>
      <c r="BM7" s="325"/>
      <c r="BN7" s="325"/>
      <c r="BO7" s="325"/>
      <c r="BP7" s="325"/>
      <c r="BQ7" s="325"/>
      <c r="BR7" s="325"/>
      <c r="BS7" s="325"/>
      <c r="BT7" s="325"/>
      <c r="BU7" s="325"/>
      <c r="BV7" s="325"/>
      <c r="BW7" s="325"/>
      <c r="BX7" s="325"/>
      <c r="BY7" s="325"/>
      <c r="BZ7" s="325"/>
      <c r="CA7" s="325"/>
      <c r="CB7" s="325"/>
      <c r="CC7" s="325"/>
      <c r="CD7" s="325"/>
      <c r="CE7" s="325"/>
      <c r="CF7" s="325"/>
      <c r="CG7" s="325"/>
      <c r="CH7" s="325"/>
      <c r="CI7" s="325"/>
      <c r="CJ7" s="325"/>
      <c r="CK7" s="325"/>
      <c r="CL7" s="325"/>
      <c r="CM7" s="325"/>
      <c r="CN7" s="325"/>
      <c r="CO7" s="325"/>
      <c r="CP7" s="325"/>
      <c r="CQ7" s="325"/>
      <c r="CR7" s="325"/>
      <c r="CS7" s="325"/>
      <c r="CT7" s="325"/>
      <c r="CU7" s="325"/>
      <c r="CV7" s="325"/>
      <c r="CW7" s="325"/>
      <c r="CX7" s="325"/>
      <c r="CY7" s="325"/>
      <c r="CZ7" s="325"/>
      <c r="DA7" s="325"/>
      <c r="DB7" s="325"/>
      <c r="DC7" s="325"/>
      <c r="DD7" s="325"/>
      <c r="DE7" s="325"/>
      <c r="DF7" s="325"/>
      <c r="DG7" s="325"/>
      <c r="DH7" s="325"/>
      <c r="DI7" s="325"/>
      <c r="DJ7" s="325"/>
      <c r="DK7" s="325"/>
      <c r="DL7" s="325"/>
      <c r="DM7" s="325"/>
      <c r="DN7" s="325"/>
      <c r="DO7" s="325"/>
      <c r="DP7" s="325"/>
      <c r="DQ7" s="325"/>
      <c r="DR7" s="325"/>
      <c r="DS7" s="325"/>
      <c r="DT7" s="325"/>
      <c r="DU7" s="325"/>
      <c r="DV7" s="325"/>
      <c r="DW7" s="325"/>
      <c r="DX7" s="325"/>
      <c r="DY7" s="325"/>
      <c r="DZ7" s="325"/>
      <c r="EA7" s="325"/>
      <c r="EB7" s="325"/>
      <c r="EC7" s="325"/>
      <c r="ED7" s="325"/>
      <c r="EE7" s="325"/>
      <c r="EF7" s="325"/>
      <c r="EG7" s="325"/>
      <c r="EH7" s="325"/>
      <c r="EI7" s="325"/>
      <c r="EJ7" s="325"/>
      <c r="EK7" s="325"/>
      <c r="EL7" s="325"/>
      <c r="EM7" s="325"/>
      <c r="EN7" s="325"/>
      <c r="EO7" s="325"/>
      <c r="EP7" s="325"/>
      <c r="EQ7" s="325"/>
      <c r="ER7" s="325"/>
      <c r="ES7" s="325"/>
      <c r="ET7" s="325"/>
      <c r="EU7" s="325"/>
      <c r="EV7" s="325"/>
      <c r="EW7" s="325"/>
      <c r="EX7" s="325"/>
      <c r="EY7" s="325"/>
      <c r="EZ7" s="325"/>
      <c r="FA7" s="325"/>
      <c r="FB7" s="325"/>
      <c r="FC7" s="325"/>
      <c r="FD7" s="325"/>
      <c r="FE7" s="325"/>
      <c r="FF7" s="325"/>
      <c r="FG7" s="325"/>
      <c r="FH7" s="325"/>
      <c r="FI7" s="325"/>
      <c r="FJ7" s="325"/>
      <c r="FK7" s="325"/>
      <c r="FL7" s="325"/>
      <c r="FM7" s="325"/>
      <c r="FN7" s="325"/>
      <c r="FO7" s="325"/>
      <c r="FP7" s="325"/>
      <c r="FQ7" s="325"/>
      <c r="FR7" s="325"/>
      <c r="FS7" s="325"/>
      <c r="FT7" s="325"/>
      <c r="FU7" s="325"/>
      <c r="FV7" s="325"/>
      <c r="FW7" s="325"/>
      <c r="FX7" s="325"/>
      <c r="FY7" s="325"/>
      <c r="FZ7" s="325"/>
      <c r="GA7" s="325"/>
      <c r="GB7" s="325"/>
      <c r="GC7" s="325"/>
      <c r="GD7" s="325"/>
      <c r="GE7" s="325"/>
      <c r="GF7" s="325"/>
      <c r="GG7" s="325"/>
      <c r="GH7" s="325"/>
      <c r="GI7" s="325"/>
      <c r="GJ7" s="325"/>
      <c r="GK7" s="325"/>
      <c r="GL7" s="325"/>
      <c r="GM7" s="325"/>
      <c r="GN7" s="325"/>
      <c r="GO7" s="325"/>
      <c r="GP7" s="325"/>
      <c r="GQ7" s="325"/>
      <c r="GR7" s="325"/>
      <c r="GS7" s="325"/>
      <c r="GT7" s="325"/>
      <c r="GU7" s="325"/>
      <c r="GV7" s="325"/>
      <c r="GW7" s="325"/>
      <c r="GX7" s="325"/>
      <c r="GY7" s="325"/>
      <c r="GZ7" s="325"/>
      <c r="HA7" s="325"/>
      <c r="HB7" s="325"/>
      <c r="HC7" s="325"/>
      <c r="HD7" s="325"/>
      <c r="HE7" s="325"/>
      <c r="HF7" s="325"/>
      <c r="HG7" s="325"/>
      <c r="HH7" s="325"/>
      <c r="HI7" s="325"/>
      <c r="HJ7" s="325"/>
      <c r="HK7" s="325"/>
      <c r="HL7" s="325"/>
      <c r="HM7" s="325"/>
      <c r="HN7" s="325"/>
      <c r="HO7" s="325"/>
      <c r="HP7" s="325"/>
      <c r="HQ7" s="325"/>
      <c r="HR7" s="325"/>
      <c r="HS7" s="325"/>
      <c r="HT7" s="325"/>
      <c r="HU7" s="325"/>
      <c r="HV7" s="325"/>
      <c r="HW7" s="325"/>
      <c r="HX7" s="325"/>
      <c r="HY7" s="325"/>
      <c r="HZ7" s="325"/>
      <c r="IA7" s="325"/>
      <c r="IB7" s="325"/>
      <c r="IC7" s="325"/>
      <c r="ID7" s="325"/>
      <c r="IE7" s="325"/>
      <c r="IF7" s="325"/>
      <c r="IG7" s="325"/>
      <c r="IH7" s="325"/>
      <c r="II7" s="325"/>
      <c r="IJ7" s="325"/>
      <c r="IK7" s="325"/>
      <c r="IL7" s="325"/>
      <c r="IM7" s="325"/>
      <c r="IN7" s="325"/>
      <c r="IO7" s="325"/>
      <c r="IP7" s="325"/>
      <c r="IQ7" s="325"/>
      <c r="IR7" s="325"/>
    </row>
    <row r="8" spans="1:252" ht="15">
      <c r="A8" s="292"/>
      <c r="B8" s="320"/>
      <c r="C8" s="292"/>
      <c r="D8" s="321"/>
      <c r="E8" s="321"/>
      <c r="F8" s="321"/>
      <c r="G8" s="321"/>
      <c r="H8" s="321"/>
      <c r="I8" s="292"/>
      <c r="J8" s="292"/>
      <c r="K8" s="315"/>
      <c r="L8" s="315"/>
      <c r="M8" s="315"/>
      <c r="N8" s="315"/>
      <c r="O8" s="315"/>
      <c r="P8" s="315"/>
      <c r="Q8" s="315"/>
      <c r="R8" s="315"/>
      <c r="S8" s="315"/>
      <c r="T8" s="315"/>
      <c r="U8" s="315"/>
      <c r="V8" s="315"/>
      <c r="W8" s="315"/>
      <c r="X8" s="315"/>
      <c r="Y8" s="315"/>
      <c r="Z8" s="315"/>
      <c r="AA8" s="315"/>
      <c r="AB8" s="315"/>
      <c r="AC8" s="315"/>
      <c r="AD8" s="315"/>
      <c r="AE8" s="315"/>
      <c r="AF8" s="315"/>
      <c r="AG8" s="315"/>
      <c r="AH8" s="315"/>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row>
    <row r="9" spans="1:252" ht="15">
      <c r="A9" s="292"/>
      <c r="B9" s="320" t="str">
        <f>'Income Statement Ann'!E13</f>
        <v xml:space="preserve">Depreciation this period </v>
      </c>
      <c r="C9" s="292"/>
      <c r="D9" s="321">
        <f ca="1">'Income Statement Ann'!J13</f>
        <v>-167708.33333333331</v>
      </c>
      <c r="E9" s="321">
        <f ca="1">'Income Statement Ann'!K13</f>
        <v>-904166.66666666686</v>
      </c>
      <c r="F9" s="321">
        <f ca="1">'Income Statement Ann'!L13</f>
        <v>-1943958.3333333333</v>
      </c>
      <c r="G9" s="321">
        <f ca="1">'Income Statement Ann'!M13</f>
        <v>-4455004.3935077805</v>
      </c>
      <c r="H9" s="321">
        <f ca="1">'Income Statement Ann'!N13</f>
        <v>-9455674.5009854715</v>
      </c>
      <c r="I9" s="292"/>
      <c r="J9" s="292"/>
      <c r="K9" s="315"/>
      <c r="L9" s="315"/>
      <c r="M9" s="315"/>
      <c r="N9" s="315"/>
      <c r="O9" s="315"/>
      <c r="P9" s="315"/>
      <c r="Q9" s="315"/>
      <c r="R9" s="315"/>
      <c r="S9" s="315"/>
      <c r="T9" s="315"/>
      <c r="U9" s="315"/>
      <c r="V9" s="315"/>
      <c r="W9" s="315"/>
      <c r="X9" s="315"/>
      <c r="Y9" s="315"/>
      <c r="Z9" s="315"/>
      <c r="AA9" s="315"/>
      <c r="AB9" s="315"/>
      <c r="AC9" s="315"/>
      <c r="AD9" s="315"/>
      <c r="AE9" s="315"/>
      <c r="AF9" s="315"/>
      <c r="AG9" s="315"/>
      <c r="AH9" s="315"/>
      <c r="AI9" s="315"/>
      <c r="AJ9" s="315"/>
      <c r="AK9" s="315"/>
      <c r="AL9" s="315"/>
      <c r="AM9" s="315"/>
      <c r="AN9" s="315"/>
      <c r="AO9" s="315"/>
      <c r="AP9" s="315"/>
      <c r="AQ9" s="315"/>
      <c r="AR9" s="315"/>
      <c r="AS9" s="315"/>
      <c r="AT9" s="315"/>
      <c r="AU9" s="315"/>
      <c r="AV9" s="315"/>
      <c r="AW9" s="315"/>
      <c r="AX9" s="315"/>
      <c r="AY9" s="315"/>
      <c r="AZ9" s="315"/>
      <c r="BA9" s="315"/>
      <c r="BB9" s="315"/>
      <c r="BC9" s="315"/>
      <c r="BD9" s="315"/>
      <c r="BE9" s="315"/>
      <c r="BF9" s="315"/>
      <c r="BG9" s="315"/>
      <c r="BH9" s="315"/>
      <c r="BI9" s="315"/>
      <c r="BJ9" s="315"/>
      <c r="BK9" s="315"/>
      <c r="BL9" s="315"/>
      <c r="BM9" s="315"/>
      <c r="BN9" s="315"/>
      <c r="BO9" s="315"/>
      <c r="BP9" s="315"/>
      <c r="BQ9" s="315"/>
      <c r="BR9" s="315"/>
      <c r="BS9" s="315"/>
      <c r="BT9" s="315"/>
      <c r="BU9" s="315"/>
      <c r="BV9" s="315"/>
      <c r="BW9" s="315"/>
      <c r="BX9" s="315"/>
      <c r="BY9" s="315"/>
      <c r="BZ9" s="315"/>
      <c r="CA9" s="315"/>
      <c r="CB9" s="315"/>
      <c r="CC9" s="315"/>
      <c r="CD9" s="315"/>
      <c r="CE9" s="315"/>
      <c r="CF9" s="315"/>
      <c r="CG9" s="315"/>
      <c r="CH9" s="315"/>
      <c r="CI9" s="315"/>
      <c r="CJ9" s="315"/>
      <c r="CK9" s="315"/>
      <c r="CL9" s="315"/>
      <c r="CM9" s="315"/>
      <c r="CN9" s="315"/>
      <c r="CO9" s="315"/>
      <c r="CP9" s="315"/>
      <c r="CQ9" s="315"/>
      <c r="CR9" s="315"/>
      <c r="CS9" s="315"/>
      <c r="CT9" s="315"/>
      <c r="CU9" s="315"/>
      <c r="CV9" s="315"/>
      <c r="CW9" s="315"/>
      <c r="CX9" s="315"/>
      <c r="CY9" s="315"/>
      <c r="CZ9" s="315"/>
      <c r="DA9" s="315"/>
      <c r="DB9" s="315"/>
      <c r="DC9" s="315"/>
      <c r="DD9" s="315"/>
      <c r="DE9" s="315"/>
      <c r="DF9" s="315"/>
      <c r="DG9" s="315"/>
      <c r="DH9" s="315"/>
      <c r="DI9" s="315"/>
      <c r="DJ9" s="315"/>
      <c r="DK9" s="315"/>
      <c r="DL9" s="315"/>
      <c r="DM9" s="315"/>
      <c r="DN9" s="315"/>
      <c r="DO9" s="315"/>
      <c r="DP9" s="315"/>
      <c r="DQ9" s="315"/>
      <c r="DR9" s="315"/>
      <c r="DS9" s="315"/>
      <c r="DT9" s="315"/>
      <c r="DU9" s="315"/>
      <c r="DV9" s="315"/>
      <c r="DW9" s="315"/>
      <c r="DX9" s="315"/>
      <c r="DY9" s="315"/>
      <c r="DZ9" s="315"/>
      <c r="EA9" s="315"/>
      <c r="EB9" s="315"/>
      <c r="EC9" s="315"/>
      <c r="ED9" s="315"/>
      <c r="EE9" s="315"/>
      <c r="EF9" s="315"/>
      <c r="EG9" s="315"/>
      <c r="EH9" s="315"/>
      <c r="EI9" s="315"/>
      <c r="EJ9" s="315"/>
      <c r="EK9" s="315"/>
      <c r="EL9" s="315"/>
      <c r="EM9" s="315"/>
      <c r="EN9" s="315"/>
      <c r="EO9" s="315"/>
      <c r="EP9" s="315"/>
      <c r="EQ9" s="315"/>
      <c r="ER9" s="315"/>
      <c r="ES9" s="315"/>
      <c r="ET9" s="315"/>
      <c r="EU9" s="315"/>
      <c r="EV9" s="315"/>
      <c r="EW9" s="315"/>
      <c r="EX9" s="315"/>
      <c r="EY9" s="315"/>
      <c r="EZ9" s="315"/>
      <c r="FA9" s="315"/>
      <c r="FB9" s="315"/>
      <c r="FC9" s="315"/>
      <c r="FD9" s="315"/>
      <c r="FE9" s="315"/>
      <c r="FF9" s="315"/>
      <c r="FG9" s="315"/>
      <c r="FH9" s="315"/>
      <c r="FI9" s="315"/>
      <c r="FJ9" s="315"/>
      <c r="FK9" s="315"/>
      <c r="FL9" s="315"/>
      <c r="FM9" s="315"/>
      <c r="FN9" s="315"/>
      <c r="FO9" s="315"/>
      <c r="FP9" s="315"/>
      <c r="FQ9" s="315"/>
      <c r="FR9" s="315"/>
      <c r="FS9" s="315"/>
      <c r="FT9" s="315"/>
      <c r="FU9" s="315"/>
      <c r="FV9" s="315"/>
      <c r="FW9" s="315"/>
      <c r="FX9" s="315"/>
      <c r="FY9" s="315"/>
      <c r="FZ9" s="315"/>
      <c r="GA9" s="315"/>
      <c r="GB9" s="315"/>
      <c r="GC9" s="315"/>
      <c r="GD9" s="315"/>
      <c r="GE9" s="315"/>
      <c r="GF9" s="315"/>
      <c r="GG9" s="315"/>
      <c r="GH9" s="315"/>
      <c r="GI9" s="315"/>
      <c r="GJ9" s="315"/>
      <c r="GK9" s="315"/>
      <c r="GL9" s="315"/>
      <c r="GM9" s="315"/>
      <c r="GN9" s="315"/>
      <c r="GO9" s="315"/>
      <c r="GP9" s="315"/>
      <c r="GQ9" s="315"/>
      <c r="GR9" s="315"/>
      <c r="GS9" s="315"/>
      <c r="GT9" s="315"/>
      <c r="GU9" s="315"/>
      <c r="GV9" s="315"/>
      <c r="GW9" s="315"/>
      <c r="GX9" s="315"/>
      <c r="GY9" s="315"/>
      <c r="GZ9" s="315"/>
      <c r="HA9" s="315"/>
      <c r="HB9" s="315"/>
      <c r="HC9" s="315"/>
      <c r="HD9" s="315"/>
      <c r="HE9" s="315"/>
      <c r="HF9" s="315"/>
      <c r="HG9" s="315"/>
      <c r="HH9" s="315"/>
      <c r="HI9" s="315"/>
      <c r="HJ9" s="315"/>
      <c r="HK9" s="315"/>
      <c r="HL9" s="315"/>
      <c r="HM9" s="315"/>
      <c r="HN9" s="315"/>
      <c r="HO9" s="315"/>
      <c r="HP9" s="315"/>
      <c r="HQ9" s="315"/>
      <c r="HR9" s="315"/>
      <c r="HS9" s="315"/>
      <c r="HT9" s="315"/>
      <c r="HU9" s="315"/>
      <c r="HV9" s="315"/>
      <c r="HW9" s="315"/>
      <c r="HX9" s="315"/>
      <c r="HY9" s="315"/>
      <c r="HZ9" s="315"/>
      <c r="IA9" s="315"/>
      <c r="IB9" s="315"/>
      <c r="IC9" s="315"/>
      <c r="ID9" s="315"/>
      <c r="IE9" s="315"/>
      <c r="IF9" s="315"/>
      <c r="IG9" s="315"/>
      <c r="IH9" s="315"/>
      <c r="II9" s="315"/>
      <c r="IJ9" s="315"/>
      <c r="IK9" s="315"/>
      <c r="IL9" s="315"/>
      <c r="IM9" s="315"/>
      <c r="IN9" s="315"/>
      <c r="IO9" s="315"/>
      <c r="IP9" s="315"/>
      <c r="IQ9" s="315"/>
      <c r="IR9" s="315"/>
    </row>
    <row r="10" spans="1:252" s="326" customFormat="1" ht="14.5">
      <c r="A10" s="316"/>
      <c r="B10" s="322" t="str">
        <f>'Income Statement Ann'!E14</f>
        <v>EBIT</v>
      </c>
      <c r="C10" s="323"/>
      <c r="D10" s="324">
        <f ca="1">'Income Statement Ann'!J14</f>
        <v>2020171.8101000243</v>
      </c>
      <c r="E10" s="324">
        <f ca="1">'Income Statement Ann'!K14</f>
        <v>17697329.961922746</v>
      </c>
      <c r="F10" s="324">
        <f ca="1">'Income Statement Ann'!L14</f>
        <v>36884956.108273998</v>
      </c>
      <c r="G10" s="324">
        <f ca="1">'Income Statement Ann'!M14</f>
        <v>84974125.556850269</v>
      </c>
      <c r="H10" s="324">
        <f ca="1">'Income Statement Ann'!N14</f>
        <v>182024301.63900486</v>
      </c>
      <c r="I10" s="316"/>
      <c r="J10" s="316"/>
      <c r="K10" s="316"/>
      <c r="L10" s="325"/>
      <c r="M10" s="325"/>
      <c r="N10" s="325"/>
      <c r="O10" s="325"/>
      <c r="P10" s="325"/>
      <c r="Q10" s="325"/>
      <c r="R10" s="325"/>
      <c r="S10" s="325"/>
      <c r="T10" s="325"/>
      <c r="U10" s="325"/>
      <c r="V10" s="325"/>
      <c r="W10" s="325"/>
      <c r="X10" s="325"/>
      <c r="Y10" s="325"/>
      <c r="Z10" s="325"/>
      <c r="AA10" s="325"/>
      <c r="AB10" s="325"/>
      <c r="AC10" s="325"/>
      <c r="AD10" s="325"/>
      <c r="AE10" s="325"/>
      <c r="AF10" s="325"/>
      <c r="AG10" s="325"/>
      <c r="AH10" s="325"/>
      <c r="AI10" s="325"/>
      <c r="AJ10" s="325"/>
      <c r="AK10" s="325"/>
      <c r="AL10" s="325"/>
      <c r="AM10" s="325"/>
      <c r="AN10" s="325"/>
      <c r="AO10" s="325"/>
      <c r="AP10" s="325"/>
      <c r="AQ10" s="325"/>
      <c r="AR10" s="325"/>
      <c r="AS10" s="325"/>
      <c r="AT10" s="325"/>
      <c r="AU10" s="325"/>
      <c r="AV10" s="325"/>
      <c r="AW10" s="325"/>
      <c r="AX10" s="325"/>
      <c r="AY10" s="325"/>
      <c r="AZ10" s="325"/>
      <c r="BA10" s="325"/>
      <c r="BB10" s="325"/>
      <c r="BC10" s="325"/>
      <c r="BD10" s="325"/>
      <c r="BE10" s="325"/>
      <c r="BF10" s="325"/>
      <c r="BG10" s="325"/>
      <c r="BH10" s="325"/>
      <c r="BI10" s="325"/>
      <c r="BJ10" s="325"/>
      <c r="BK10" s="325"/>
      <c r="BL10" s="325"/>
      <c r="BM10" s="325"/>
      <c r="BN10" s="325"/>
      <c r="BO10" s="325"/>
      <c r="BP10" s="325"/>
      <c r="BQ10" s="325"/>
      <c r="BR10" s="325"/>
      <c r="BS10" s="325"/>
      <c r="BT10" s="325"/>
      <c r="BU10" s="325"/>
      <c r="BV10" s="325"/>
      <c r="BW10" s="325"/>
      <c r="BX10" s="325"/>
      <c r="BY10" s="325"/>
      <c r="BZ10" s="325"/>
      <c r="CA10" s="325"/>
      <c r="CB10" s="325"/>
      <c r="CC10" s="325"/>
      <c r="CD10" s="325"/>
      <c r="CE10" s="325"/>
      <c r="CF10" s="325"/>
      <c r="CG10" s="325"/>
      <c r="CH10" s="325"/>
      <c r="CI10" s="325"/>
      <c r="CJ10" s="325"/>
      <c r="CK10" s="325"/>
      <c r="CL10" s="325"/>
      <c r="CM10" s="325"/>
      <c r="CN10" s="325"/>
      <c r="CO10" s="325"/>
      <c r="CP10" s="325"/>
      <c r="CQ10" s="325"/>
      <c r="CR10" s="325"/>
      <c r="CS10" s="325"/>
      <c r="CT10" s="325"/>
      <c r="CU10" s="325"/>
      <c r="CV10" s="325"/>
      <c r="CW10" s="325"/>
      <c r="CX10" s="325"/>
      <c r="CY10" s="325"/>
      <c r="CZ10" s="325"/>
      <c r="DA10" s="325"/>
      <c r="DB10" s="325"/>
      <c r="DC10" s="325"/>
      <c r="DD10" s="325"/>
      <c r="DE10" s="325"/>
      <c r="DF10" s="325"/>
      <c r="DG10" s="325"/>
      <c r="DH10" s="325"/>
      <c r="DI10" s="325"/>
      <c r="DJ10" s="325"/>
      <c r="DK10" s="325"/>
      <c r="DL10" s="325"/>
      <c r="DM10" s="325"/>
      <c r="DN10" s="325"/>
      <c r="DO10" s="325"/>
      <c r="DP10" s="325"/>
      <c r="DQ10" s="325"/>
      <c r="DR10" s="325"/>
      <c r="DS10" s="325"/>
      <c r="DT10" s="325"/>
      <c r="DU10" s="325"/>
      <c r="DV10" s="325"/>
      <c r="DW10" s="325"/>
      <c r="DX10" s="325"/>
      <c r="DY10" s="325"/>
      <c r="DZ10" s="325"/>
      <c r="EA10" s="325"/>
      <c r="EB10" s="325"/>
      <c r="EC10" s="325"/>
      <c r="ED10" s="325"/>
      <c r="EE10" s="325"/>
      <c r="EF10" s="325"/>
      <c r="EG10" s="325"/>
      <c r="EH10" s="325"/>
      <c r="EI10" s="325"/>
      <c r="EJ10" s="325"/>
      <c r="EK10" s="325"/>
      <c r="EL10" s="325"/>
      <c r="EM10" s="325"/>
      <c r="EN10" s="325"/>
      <c r="EO10" s="325"/>
      <c r="EP10" s="325"/>
      <c r="EQ10" s="325"/>
      <c r="ER10" s="325"/>
      <c r="ES10" s="325"/>
      <c r="ET10" s="325"/>
      <c r="EU10" s="325"/>
      <c r="EV10" s="325"/>
      <c r="EW10" s="325"/>
      <c r="EX10" s="325"/>
      <c r="EY10" s="325"/>
      <c r="EZ10" s="325"/>
      <c r="FA10" s="325"/>
      <c r="FB10" s="325"/>
      <c r="FC10" s="325"/>
      <c r="FD10" s="325"/>
      <c r="FE10" s="325"/>
      <c r="FF10" s="325"/>
      <c r="FG10" s="325"/>
      <c r="FH10" s="325"/>
      <c r="FI10" s="325"/>
      <c r="FJ10" s="325"/>
      <c r="FK10" s="325"/>
      <c r="FL10" s="325"/>
      <c r="FM10" s="325"/>
      <c r="FN10" s="325"/>
      <c r="FO10" s="325"/>
      <c r="FP10" s="325"/>
      <c r="FQ10" s="325"/>
      <c r="FR10" s="325"/>
      <c r="FS10" s="325"/>
      <c r="FT10" s="325"/>
      <c r="FU10" s="325"/>
      <c r="FV10" s="325"/>
      <c r="FW10" s="325"/>
      <c r="FX10" s="325"/>
      <c r="FY10" s="325"/>
      <c r="FZ10" s="325"/>
      <c r="GA10" s="325"/>
      <c r="GB10" s="325"/>
      <c r="GC10" s="325"/>
      <c r="GD10" s="325"/>
      <c r="GE10" s="325"/>
      <c r="GF10" s="325"/>
      <c r="GG10" s="325"/>
      <c r="GH10" s="325"/>
      <c r="GI10" s="325"/>
      <c r="GJ10" s="325"/>
      <c r="GK10" s="325"/>
      <c r="GL10" s="325"/>
      <c r="GM10" s="325"/>
      <c r="GN10" s="325"/>
      <c r="GO10" s="325"/>
      <c r="GP10" s="325"/>
      <c r="GQ10" s="325"/>
      <c r="GR10" s="325"/>
      <c r="GS10" s="325"/>
      <c r="GT10" s="325"/>
      <c r="GU10" s="325"/>
      <c r="GV10" s="325"/>
      <c r="GW10" s="325"/>
      <c r="GX10" s="325"/>
      <c r="GY10" s="325"/>
      <c r="GZ10" s="325"/>
      <c r="HA10" s="325"/>
      <c r="HB10" s="325"/>
      <c r="HC10" s="325"/>
      <c r="HD10" s="325"/>
      <c r="HE10" s="325"/>
      <c r="HF10" s="325"/>
      <c r="HG10" s="325"/>
      <c r="HH10" s="325"/>
      <c r="HI10" s="325"/>
      <c r="HJ10" s="325"/>
      <c r="HK10" s="325"/>
      <c r="HL10" s="325"/>
      <c r="HM10" s="325"/>
      <c r="HN10" s="325"/>
      <c r="HO10" s="325"/>
      <c r="HP10" s="325"/>
      <c r="HQ10" s="325"/>
      <c r="HR10" s="325"/>
      <c r="HS10" s="325"/>
      <c r="HT10" s="325"/>
      <c r="HU10" s="325"/>
      <c r="HV10" s="325"/>
      <c r="HW10" s="325"/>
      <c r="HX10" s="325"/>
      <c r="HY10" s="325"/>
      <c r="HZ10" s="325"/>
      <c r="IA10" s="325"/>
      <c r="IB10" s="325"/>
      <c r="IC10" s="325"/>
      <c r="ID10" s="325"/>
      <c r="IE10" s="325"/>
      <c r="IF10" s="325"/>
      <c r="IG10" s="325"/>
      <c r="IH10" s="325"/>
      <c r="II10" s="325"/>
      <c r="IJ10" s="325"/>
      <c r="IK10" s="325"/>
      <c r="IL10" s="325"/>
      <c r="IM10" s="325"/>
      <c r="IN10" s="325"/>
      <c r="IO10" s="325"/>
      <c r="IP10" s="325"/>
      <c r="IQ10" s="325"/>
      <c r="IR10" s="325"/>
    </row>
    <row r="11" spans="1:252" ht="15">
      <c r="A11" s="292"/>
      <c r="B11" s="320"/>
      <c r="C11" s="292"/>
      <c r="D11" s="321"/>
      <c r="E11" s="321"/>
      <c r="F11" s="321"/>
      <c r="G11" s="321"/>
      <c r="H11" s="321"/>
      <c r="I11" s="292"/>
      <c r="J11" s="292"/>
      <c r="K11" s="315"/>
      <c r="L11" s="315"/>
      <c r="M11" s="315"/>
      <c r="N11" s="315"/>
      <c r="O11" s="315"/>
      <c r="P11" s="315"/>
      <c r="Q11" s="315"/>
      <c r="R11" s="315"/>
      <c r="S11" s="315"/>
      <c r="T11" s="315"/>
      <c r="U11" s="315"/>
      <c r="V11" s="315"/>
      <c r="W11" s="315"/>
      <c r="X11" s="315"/>
      <c r="Y11" s="315"/>
      <c r="Z11" s="315"/>
      <c r="AA11" s="315"/>
      <c r="AB11" s="315"/>
      <c r="AC11" s="315"/>
      <c r="AD11" s="315"/>
      <c r="AE11" s="315"/>
      <c r="AF11" s="315"/>
      <c r="AG11" s="315"/>
      <c r="AH11" s="315"/>
      <c r="AI11" s="315"/>
      <c r="AJ11" s="315"/>
      <c r="AK11" s="315"/>
      <c r="AL11" s="315"/>
      <c r="AM11" s="315"/>
      <c r="AN11" s="315"/>
      <c r="AO11" s="315"/>
      <c r="AP11" s="315"/>
      <c r="AQ11" s="315"/>
      <c r="AR11" s="315"/>
      <c r="AS11" s="315"/>
      <c r="AT11" s="315"/>
      <c r="AU11" s="315"/>
      <c r="AV11" s="315"/>
      <c r="AW11" s="315"/>
      <c r="AX11" s="315"/>
      <c r="AY11" s="315"/>
      <c r="AZ11" s="315"/>
      <c r="BA11" s="315"/>
      <c r="BB11" s="315"/>
      <c r="BC11" s="315"/>
      <c r="BD11" s="315"/>
      <c r="BE11" s="315"/>
      <c r="BF11" s="315"/>
      <c r="BG11" s="315"/>
      <c r="BH11" s="315"/>
      <c r="BI11" s="315"/>
      <c r="BJ11" s="315"/>
      <c r="BK11" s="315"/>
      <c r="BL11" s="315"/>
      <c r="BM11" s="315"/>
      <c r="BN11" s="315"/>
      <c r="BO11" s="315"/>
      <c r="BP11" s="315"/>
      <c r="BQ11" s="315"/>
      <c r="BR11" s="315"/>
      <c r="BS11" s="315"/>
      <c r="BT11" s="315"/>
      <c r="BU11" s="315"/>
      <c r="BV11" s="315"/>
      <c r="BW11" s="315"/>
      <c r="BX11" s="315"/>
      <c r="BY11" s="315"/>
      <c r="BZ11" s="315"/>
      <c r="CA11" s="315"/>
      <c r="CB11" s="315"/>
      <c r="CC11" s="315"/>
      <c r="CD11" s="315"/>
      <c r="CE11" s="315"/>
      <c r="CF11" s="315"/>
      <c r="CG11" s="315"/>
      <c r="CH11" s="315"/>
      <c r="CI11" s="315"/>
      <c r="CJ11" s="315"/>
      <c r="CK11" s="315"/>
      <c r="CL11" s="315"/>
      <c r="CM11" s="315"/>
      <c r="CN11" s="315"/>
      <c r="CO11" s="315"/>
      <c r="CP11" s="315"/>
      <c r="CQ11" s="315"/>
      <c r="CR11" s="315"/>
      <c r="CS11" s="315"/>
      <c r="CT11" s="315"/>
      <c r="CU11" s="315"/>
      <c r="CV11" s="315"/>
      <c r="CW11" s="315"/>
      <c r="CX11" s="315"/>
      <c r="CY11" s="315"/>
      <c r="CZ11" s="315"/>
      <c r="DA11" s="315"/>
      <c r="DB11" s="315"/>
      <c r="DC11" s="315"/>
      <c r="DD11" s="315"/>
      <c r="DE11" s="315"/>
      <c r="DF11" s="315"/>
      <c r="DG11" s="315"/>
      <c r="DH11" s="315"/>
      <c r="DI11" s="315"/>
      <c r="DJ11" s="315"/>
      <c r="DK11" s="315"/>
      <c r="DL11" s="315"/>
      <c r="DM11" s="315"/>
      <c r="DN11" s="315"/>
      <c r="DO11" s="315"/>
      <c r="DP11" s="315"/>
      <c r="DQ11" s="315"/>
      <c r="DR11" s="315"/>
      <c r="DS11" s="315"/>
      <c r="DT11" s="315"/>
      <c r="DU11" s="315"/>
      <c r="DV11" s="315"/>
      <c r="DW11" s="315"/>
      <c r="DX11" s="315"/>
      <c r="DY11" s="315"/>
      <c r="DZ11" s="315"/>
      <c r="EA11" s="315"/>
      <c r="EB11" s="315"/>
      <c r="EC11" s="315"/>
      <c r="ED11" s="315"/>
      <c r="EE11" s="315"/>
      <c r="EF11" s="315"/>
      <c r="EG11" s="315"/>
      <c r="EH11" s="315"/>
      <c r="EI11" s="315"/>
      <c r="EJ11" s="315"/>
      <c r="EK11" s="315"/>
      <c r="EL11" s="315"/>
      <c r="EM11" s="315"/>
      <c r="EN11" s="315"/>
      <c r="EO11" s="315"/>
      <c r="EP11" s="315"/>
      <c r="EQ11" s="315"/>
      <c r="ER11" s="315"/>
      <c r="ES11" s="315"/>
      <c r="ET11" s="315"/>
      <c r="EU11" s="315"/>
      <c r="EV11" s="315"/>
      <c r="EW11" s="315"/>
      <c r="EX11" s="315"/>
      <c r="EY11" s="315"/>
      <c r="EZ11" s="315"/>
      <c r="FA11" s="315"/>
      <c r="FB11" s="315"/>
      <c r="FC11" s="315"/>
      <c r="FD11" s="315"/>
      <c r="FE11" s="315"/>
      <c r="FF11" s="315"/>
      <c r="FG11" s="315"/>
      <c r="FH11" s="315"/>
      <c r="FI11" s="315"/>
      <c r="FJ11" s="315"/>
      <c r="FK11" s="315"/>
      <c r="FL11" s="315"/>
      <c r="FM11" s="315"/>
      <c r="FN11" s="315"/>
      <c r="FO11" s="315"/>
      <c r="FP11" s="315"/>
      <c r="FQ11" s="315"/>
      <c r="FR11" s="315"/>
      <c r="FS11" s="315"/>
      <c r="FT11" s="315"/>
      <c r="FU11" s="315"/>
      <c r="FV11" s="315"/>
      <c r="FW11" s="315"/>
      <c r="FX11" s="315"/>
      <c r="FY11" s="315"/>
      <c r="FZ11" s="315"/>
      <c r="GA11" s="315"/>
      <c r="GB11" s="315"/>
      <c r="GC11" s="315"/>
      <c r="GD11" s="315"/>
      <c r="GE11" s="315"/>
      <c r="GF11" s="315"/>
      <c r="GG11" s="315"/>
      <c r="GH11" s="315"/>
      <c r="GI11" s="315"/>
      <c r="GJ11" s="315"/>
      <c r="GK11" s="315"/>
      <c r="GL11" s="315"/>
      <c r="GM11" s="315"/>
      <c r="GN11" s="315"/>
      <c r="GO11" s="315"/>
      <c r="GP11" s="315"/>
      <c r="GQ11" s="315"/>
      <c r="GR11" s="315"/>
      <c r="GS11" s="315"/>
      <c r="GT11" s="315"/>
      <c r="GU11" s="315"/>
      <c r="GV11" s="315"/>
      <c r="GW11" s="315"/>
      <c r="GX11" s="315"/>
      <c r="GY11" s="315"/>
      <c r="GZ11" s="315"/>
      <c r="HA11" s="315"/>
      <c r="HB11" s="315"/>
      <c r="HC11" s="315"/>
      <c r="HD11" s="315"/>
      <c r="HE11" s="315"/>
      <c r="HF11" s="315"/>
      <c r="HG11" s="315"/>
      <c r="HH11" s="315"/>
      <c r="HI11" s="315"/>
      <c r="HJ11" s="315"/>
      <c r="HK11" s="315"/>
      <c r="HL11" s="315"/>
      <c r="HM11" s="315"/>
      <c r="HN11" s="315"/>
      <c r="HO11" s="315"/>
      <c r="HP11" s="315"/>
      <c r="HQ11" s="315"/>
      <c r="HR11" s="315"/>
      <c r="HS11" s="315"/>
      <c r="HT11" s="315"/>
      <c r="HU11" s="315"/>
      <c r="HV11" s="315"/>
      <c r="HW11" s="315"/>
      <c r="HX11" s="315"/>
      <c r="HY11" s="315"/>
      <c r="HZ11" s="315"/>
      <c r="IA11" s="315"/>
      <c r="IB11" s="315"/>
      <c r="IC11" s="315"/>
      <c r="ID11" s="315"/>
      <c r="IE11" s="315"/>
      <c r="IF11" s="315"/>
      <c r="IG11" s="315"/>
      <c r="IH11" s="315"/>
      <c r="II11" s="315"/>
      <c r="IJ11" s="315"/>
      <c r="IK11" s="315"/>
      <c r="IL11" s="315"/>
      <c r="IM11" s="315"/>
      <c r="IN11" s="315"/>
      <c r="IO11" s="315"/>
      <c r="IP11" s="315"/>
      <c r="IQ11" s="315"/>
      <c r="IR11" s="315"/>
    </row>
    <row r="12" spans="1:252" ht="15">
      <c r="A12" s="292"/>
      <c r="B12" s="320" t="str">
        <f>'Income Statement Ann'!E16</f>
        <v xml:space="preserve">Supply Chain Finance interest </v>
      </c>
      <c r="C12" s="292"/>
      <c r="D12" s="321">
        <f ca="1">'Income Statement Ann'!J16</f>
        <v>0</v>
      </c>
      <c r="E12" s="321">
        <f ca="1">'Income Statement Ann'!K16</f>
        <v>0</v>
      </c>
      <c r="F12" s="321">
        <f ca="1">'Income Statement Ann'!L16</f>
        <v>0</v>
      </c>
      <c r="G12" s="321">
        <f ca="1">'Income Statement Ann'!M16</f>
        <v>0</v>
      </c>
      <c r="H12" s="321">
        <f ca="1">'Income Statement Ann'!N16</f>
        <v>0</v>
      </c>
      <c r="I12" s="292"/>
      <c r="J12" s="292"/>
      <c r="K12" s="315"/>
      <c r="L12" s="315"/>
      <c r="M12" s="315"/>
      <c r="N12" s="315"/>
      <c r="O12" s="315"/>
      <c r="P12" s="315"/>
      <c r="Q12" s="315"/>
      <c r="R12" s="315"/>
      <c r="S12" s="315"/>
      <c r="T12" s="315"/>
      <c r="U12" s="315"/>
      <c r="V12" s="315"/>
      <c r="W12" s="315"/>
      <c r="X12" s="315"/>
      <c r="Y12" s="315"/>
      <c r="Z12" s="315"/>
      <c r="AA12" s="315"/>
      <c r="AB12" s="315"/>
      <c r="AC12" s="315"/>
      <c r="AD12" s="315"/>
      <c r="AE12" s="315"/>
      <c r="AF12" s="315"/>
      <c r="AG12" s="315"/>
      <c r="AH12" s="315"/>
      <c r="AI12" s="315"/>
      <c r="AJ12" s="315"/>
      <c r="AK12" s="315"/>
      <c r="AL12" s="315"/>
      <c r="AM12" s="315"/>
      <c r="AN12" s="315"/>
      <c r="AO12" s="315"/>
      <c r="AP12" s="315"/>
      <c r="AQ12" s="315"/>
      <c r="AR12" s="315"/>
      <c r="AS12" s="315"/>
      <c r="AT12" s="315"/>
      <c r="AU12" s="315"/>
      <c r="AV12" s="315"/>
      <c r="AW12" s="315"/>
      <c r="AX12" s="315"/>
      <c r="AY12" s="315"/>
      <c r="AZ12" s="315"/>
      <c r="BA12" s="315"/>
      <c r="BB12" s="315"/>
      <c r="BC12" s="315"/>
      <c r="BD12" s="315"/>
      <c r="BE12" s="315"/>
      <c r="BF12" s="315"/>
      <c r="BG12" s="315"/>
      <c r="BH12" s="315"/>
      <c r="BI12" s="315"/>
      <c r="BJ12" s="315"/>
      <c r="BK12" s="315"/>
      <c r="BL12" s="315"/>
      <c r="BM12" s="315"/>
      <c r="BN12" s="315"/>
      <c r="BO12" s="315"/>
      <c r="BP12" s="315"/>
      <c r="BQ12" s="315"/>
      <c r="BR12" s="315"/>
      <c r="BS12" s="315"/>
      <c r="BT12" s="315"/>
      <c r="BU12" s="315"/>
      <c r="BV12" s="315"/>
      <c r="BW12" s="315"/>
      <c r="BX12" s="315"/>
      <c r="BY12" s="315"/>
      <c r="BZ12" s="315"/>
      <c r="CA12" s="315"/>
      <c r="CB12" s="315"/>
      <c r="CC12" s="315"/>
      <c r="CD12" s="315"/>
      <c r="CE12" s="315"/>
      <c r="CF12" s="315"/>
      <c r="CG12" s="315"/>
      <c r="CH12" s="315"/>
      <c r="CI12" s="315"/>
      <c r="CJ12" s="315"/>
      <c r="CK12" s="315"/>
      <c r="CL12" s="315"/>
      <c r="CM12" s="315"/>
      <c r="CN12" s="315"/>
      <c r="CO12" s="315"/>
      <c r="CP12" s="315"/>
      <c r="CQ12" s="315"/>
      <c r="CR12" s="315"/>
      <c r="CS12" s="315"/>
      <c r="CT12" s="315"/>
      <c r="CU12" s="315"/>
      <c r="CV12" s="315"/>
      <c r="CW12" s="315"/>
      <c r="CX12" s="315"/>
      <c r="CY12" s="315"/>
      <c r="CZ12" s="315"/>
      <c r="DA12" s="315"/>
      <c r="DB12" s="315"/>
      <c r="DC12" s="315"/>
      <c r="DD12" s="315"/>
      <c r="DE12" s="315"/>
      <c r="DF12" s="315"/>
      <c r="DG12" s="315"/>
      <c r="DH12" s="315"/>
      <c r="DI12" s="315"/>
      <c r="DJ12" s="315"/>
      <c r="DK12" s="315"/>
      <c r="DL12" s="315"/>
      <c r="DM12" s="315"/>
      <c r="DN12" s="315"/>
      <c r="DO12" s="315"/>
      <c r="DP12" s="315"/>
      <c r="DQ12" s="315"/>
      <c r="DR12" s="315"/>
      <c r="DS12" s="315"/>
      <c r="DT12" s="315"/>
      <c r="DU12" s="315"/>
      <c r="DV12" s="315"/>
      <c r="DW12" s="315"/>
      <c r="DX12" s="315"/>
      <c r="DY12" s="315"/>
      <c r="DZ12" s="315"/>
      <c r="EA12" s="315"/>
      <c r="EB12" s="315"/>
      <c r="EC12" s="315"/>
      <c r="ED12" s="315"/>
      <c r="EE12" s="315"/>
      <c r="EF12" s="315"/>
      <c r="EG12" s="315"/>
      <c r="EH12" s="315"/>
      <c r="EI12" s="315"/>
      <c r="EJ12" s="315"/>
      <c r="EK12" s="315"/>
      <c r="EL12" s="315"/>
      <c r="EM12" s="315"/>
      <c r="EN12" s="315"/>
      <c r="EO12" s="315"/>
      <c r="EP12" s="315"/>
      <c r="EQ12" s="315"/>
      <c r="ER12" s="315"/>
      <c r="ES12" s="315"/>
      <c r="ET12" s="315"/>
      <c r="EU12" s="315"/>
      <c r="EV12" s="315"/>
      <c r="EW12" s="315"/>
      <c r="EX12" s="315"/>
      <c r="EY12" s="315"/>
      <c r="EZ12" s="315"/>
      <c r="FA12" s="315"/>
      <c r="FB12" s="315"/>
      <c r="FC12" s="315"/>
      <c r="FD12" s="315"/>
      <c r="FE12" s="315"/>
      <c r="FF12" s="315"/>
      <c r="FG12" s="315"/>
      <c r="FH12" s="315"/>
      <c r="FI12" s="315"/>
      <c r="FJ12" s="315"/>
      <c r="FK12" s="315"/>
      <c r="FL12" s="315"/>
      <c r="FM12" s="315"/>
      <c r="FN12" s="315"/>
      <c r="FO12" s="315"/>
      <c r="FP12" s="315"/>
      <c r="FQ12" s="315"/>
      <c r="FR12" s="315"/>
      <c r="FS12" s="315"/>
      <c r="FT12" s="315"/>
      <c r="FU12" s="315"/>
      <c r="FV12" s="315"/>
      <c r="FW12" s="315"/>
      <c r="FX12" s="315"/>
      <c r="FY12" s="315"/>
      <c r="FZ12" s="315"/>
      <c r="GA12" s="315"/>
      <c r="GB12" s="315"/>
      <c r="GC12" s="315"/>
      <c r="GD12" s="315"/>
      <c r="GE12" s="315"/>
      <c r="GF12" s="315"/>
      <c r="GG12" s="315"/>
      <c r="GH12" s="315"/>
      <c r="GI12" s="315"/>
      <c r="GJ12" s="315"/>
      <c r="GK12" s="315"/>
      <c r="GL12" s="315"/>
      <c r="GM12" s="315"/>
      <c r="GN12" s="315"/>
      <c r="GO12" s="315"/>
      <c r="GP12" s="315"/>
      <c r="GQ12" s="315"/>
      <c r="GR12" s="315"/>
      <c r="GS12" s="315"/>
      <c r="GT12" s="315"/>
      <c r="GU12" s="315"/>
      <c r="GV12" s="315"/>
      <c r="GW12" s="315"/>
      <c r="GX12" s="315"/>
      <c r="GY12" s="315"/>
      <c r="GZ12" s="315"/>
      <c r="HA12" s="315"/>
      <c r="HB12" s="315"/>
      <c r="HC12" s="315"/>
      <c r="HD12" s="315"/>
      <c r="HE12" s="315"/>
      <c r="HF12" s="315"/>
      <c r="HG12" s="315"/>
      <c r="HH12" s="315"/>
      <c r="HI12" s="315"/>
      <c r="HJ12" s="315"/>
      <c r="HK12" s="315"/>
      <c r="HL12" s="315"/>
      <c r="HM12" s="315"/>
      <c r="HN12" s="315"/>
      <c r="HO12" s="315"/>
      <c r="HP12" s="315"/>
      <c r="HQ12" s="315"/>
      <c r="HR12" s="315"/>
      <c r="HS12" s="315"/>
      <c r="HT12" s="315"/>
      <c r="HU12" s="315"/>
      <c r="HV12" s="315"/>
      <c r="HW12" s="315"/>
      <c r="HX12" s="315"/>
      <c r="HY12" s="315"/>
      <c r="HZ12" s="315"/>
      <c r="IA12" s="315"/>
      <c r="IB12" s="315"/>
      <c r="IC12" s="315"/>
      <c r="ID12" s="315"/>
      <c r="IE12" s="315"/>
      <c r="IF12" s="315"/>
      <c r="IG12" s="315"/>
      <c r="IH12" s="315"/>
      <c r="II12" s="315"/>
      <c r="IJ12" s="315"/>
      <c r="IK12" s="315"/>
      <c r="IL12" s="315"/>
      <c r="IM12" s="315"/>
      <c r="IN12" s="315"/>
      <c r="IO12" s="315"/>
      <c r="IP12" s="315"/>
      <c r="IQ12" s="315"/>
      <c r="IR12" s="315"/>
    </row>
    <row r="13" spans="1:252" ht="15">
      <c r="A13" s="292"/>
      <c r="B13" s="320" t="str">
        <f>'Income Statement Ann'!E17</f>
        <v xml:space="preserve">Invoice finance interest </v>
      </c>
      <c r="C13" s="292"/>
      <c r="D13" s="321">
        <f ca="1">'Income Statement Ann'!J17</f>
        <v>0</v>
      </c>
      <c r="E13" s="321">
        <f ca="1">'Income Statement Ann'!K17</f>
        <v>0</v>
      </c>
      <c r="F13" s="321">
        <f ca="1">'Income Statement Ann'!L17</f>
        <v>0</v>
      </c>
      <c r="G13" s="321">
        <f ca="1">'Income Statement Ann'!M17</f>
        <v>0</v>
      </c>
      <c r="H13" s="321">
        <f ca="1">'Income Statement Ann'!N17</f>
        <v>0</v>
      </c>
      <c r="I13" s="292"/>
      <c r="J13" s="292"/>
      <c r="K13" s="315"/>
      <c r="L13" s="315"/>
      <c r="M13" s="315"/>
      <c r="N13" s="315"/>
      <c r="O13" s="315"/>
      <c r="P13" s="315"/>
      <c r="Q13" s="315"/>
      <c r="R13" s="315"/>
      <c r="S13" s="315"/>
      <c r="T13" s="315"/>
      <c r="U13" s="315"/>
      <c r="V13" s="315"/>
      <c r="W13" s="315"/>
      <c r="X13" s="315"/>
      <c r="Y13" s="315"/>
      <c r="Z13" s="315"/>
      <c r="AA13" s="315"/>
      <c r="AB13" s="315"/>
      <c r="AC13" s="315"/>
      <c r="AD13" s="315"/>
      <c r="AE13" s="315"/>
      <c r="AF13" s="315"/>
      <c r="AG13" s="315"/>
      <c r="AH13" s="315"/>
      <c r="AI13" s="315"/>
      <c r="AJ13" s="315"/>
      <c r="AK13" s="315"/>
      <c r="AL13" s="315"/>
      <c r="AM13" s="315"/>
      <c r="AN13" s="315"/>
      <c r="AO13" s="315"/>
      <c r="AP13" s="315"/>
      <c r="AQ13" s="315"/>
      <c r="AR13" s="315"/>
      <c r="AS13" s="315"/>
      <c r="AT13" s="315"/>
      <c r="AU13" s="315"/>
      <c r="AV13" s="315"/>
      <c r="AW13" s="315"/>
      <c r="AX13" s="315"/>
      <c r="AY13" s="315"/>
      <c r="AZ13" s="315"/>
      <c r="BA13" s="315"/>
      <c r="BB13" s="315"/>
      <c r="BC13" s="315"/>
      <c r="BD13" s="315"/>
      <c r="BE13" s="315"/>
      <c r="BF13" s="315"/>
      <c r="BG13" s="315"/>
      <c r="BH13" s="315"/>
      <c r="BI13" s="315"/>
      <c r="BJ13" s="315"/>
      <c r="BK13" s="315"/>
      <c r="BL13" s="315"/>
      <c r="BM13" s="315"/>
      <c r="BN13" s="315"/>
      <c r="BO13" s="315"/>
      <c r="BP13" s="315"/>
      <c r="BQ13" s="315"/>
      <c r="BR13" s="315"/>
      <c r="BS13" s="315"/>
      <c r="BT13" s="315"/>
      <c r="BU13" s="315"/>
      <c r="BV13" s="315"/>
      <c r="BW13" s="315"/>
      <c r="BX13" s="315"/>
      <c r="BY13" s="315"/>
      <c r="BZ13" s="315"/>
      <c r="CA13" s="315"/>
      <c r="CB13" s="315"/>
      <c r="CC13" s="315"/>
      <c r="CD13" s="315"/>
      <c r="CE13" s="315"/>
      <c r="CF13" s="315"/>
      <c r="CG13" s="315"/>
      <c r="CH13" s="315"/>
      <c r="CI13" s="315"/>
      <c r="CJ13" s="315"/>
      <c r="CK13" s="315"/>
      <c r="CL13" s="315"/>
      <c r="CM13" s="315"/>
      <c r="CN13" s="315"/>
      <c r="CO13" s="315"/>
      <c r="CP13" s="315"/>
      <c r="CQ13" s="315"/>
      <c r="CR13" s="315"/>
      <c r="CS13" s="315"/>
      <c r="CT13" s="315"/>
      <c r="CU13" s="315"/>
      <c r="CV13" s="315"/>
      <c r="CW13" s="315"/>
      <c r="CX13" s="315"/>
      <c r="CY13" s="315"/>
      <c r="CZ13" s="315"/>
      <c r="DA13" s="315"/>
      <c r="DB13" s="315"/>
      <c r="DC13" s="315"/>
      <c r="DD13" s="315"/>
      <c r="DE13" s="315"/>
      <c r="DF13" s="315"/>
      <c r="DG13" s="315"/>
      <c r="DH13" s="315"/>
      <c r="DI13" s="315"/>
      <c r="DJ13" s="315"/>
      <c r="DK13" s="315"/>
      <c r="DL13" s="315"/>
      <c r="DM13" s="315"/>
      <c r="DN13" s="315"/>
      <c r="DO13" s="315"/>
      <c r="DP13" s="315"/>
      <c r="DQ13" s="315"/>
      <c r="DR13" s="315"/>
      <c r="DS13" s="315"/>
      <c r="DT13" s="315"/>
      <c r="DU13" s="315"/>
      <c r="DV13" s="315"/>
      <c r="DW13" s="315"/>
      <c r="DX13" s="315"/>
      <c r="DY13" s="315"/>
      <c r="DZ13" s="315"/>
      <c r="EA13" s="315"/>
      <c r="EB13" s="315"/>
      <c r="EC13" s="315"/>
      <c r="ED13" s="315"/>
      <c r="EE13" s="315"/>
      <c r="EF13" s="315"/>
      <c r="EG13" s="315"/>
      <c r="EH13" s="315"/>
      <c r="EI13" s="315"/>
      <c r="EJ13" s="315"/>
      <c r="EK13" s="315"/>
      <c r="EL13" s="315"/>
      <c r="EM13" s="315"/>
      <c r="EN13" s="315"/>
      <c r="EO13" s="315"/>
      <c r="EP13" s="315"/>
      <c r="EQ13" s="315"/>
      <c r="ER13" s="315"/>
      <c r="ES13" s="315"/>
      <c r="ET13" s="315"/>
      <c r="EU13" s="315"/>
      <c r="EV13" s="315"/>
      <c r="EW13" s="315"/>
      <c r="EX13" s="315"/>
      <c r="EY13" s="315"/>
      <c r="EZ13" s="315"/>
      <c r="FA13" s="315"/>
      <c r="FB13" s="315"/>
      <c r="FC13" s="315"/>
      <c r="FD13" s="315"/>
      <c r="FE13" s="315"/>
      <c r="FF13" s="315"/>
      <c r="FG13" s="315"/>
      <c r="FH13" s="315"/>
      <c r="FI13" s="315"/>
      <c r="FJ13" s="315"/>
      <c r="FK13" s="315"/>
      <c r="FL13" s="315"/>
      <c r="FM13" s="315"/>
      <c r="FN13" s="315"/>
      <c r="FO13" s="315"/>
      <c r="FP13" s="315"/>
      <c r="FQ13" s="315"/>
      <c r="FR13" s="315"/>
      <c r="FS13" s="315"/>
      <c r="FT13" s="315"/>
      <c r="FU13" s="315"/>
      <c r="FV13" s="315"/>
      <c r="FW13" s="315"/>
      <c r="FX13" s="315"/>
      <c r="FY13" s="315"/>
      <c r="FZ13" s="315"/>
      <c r="GA13" s="315"/>
      <c r="GB13" s="315"/>
      <c r="GC13" s="315"/>
      <c r="GD13" s="315"/>
      <c r="GE13" s="315"/>
      <c r="GF13" s="315"/>
      <c r="GG13" s="315"/>
      <c r="GH13" s="315"/>
      <c r="GI13" s="315"/>
      <c r="GJ13" s="315"/>
      <c r="GK13" s="315"/>
      <c r="GL13" s="315"/>
      <c r="GM13" s="315"/>
      <c r="GN13" s="315"/>
      <c r="GO13" s="315"/>
      <c r="GP13" s="315"/>
      <c r="GQ13" s="315"/>
      <c r="GR13" s="315"/>
      <c r="GS13" s="315"/>
      <c r="GT13" s="315"/>
      <c r="GU13" s="315"/>
      <c r="GV13" s="315"/>
      <c r="GW13" s="315"/>
      <c r="GX13" s="315"/>
      <c r="GY13" s="315"/>
      <c r="GZ13" s="315"/>
      <c r="HA13" s="315"/>
      <c r="HB13" s="315"/>
      <c r="HC13" s="315"/>
      <c r="HD13" s="315"/>
      <c r="HE13" s="315"/>
      <c r="HF13" s="315"/>
      <c r="HG13" s="315"/>
      <c r="HH13" s="315"/>
      <c r="HI13" s="315"/>
      <c r="HJ13" s="315"/>
      <c r="HK13" s="315"/>
      <c r="HL13" s="315"/>
      <c r="HM13" s="315"/>
      <c r="HN13" s="315"/>
      <c r="HO13" s="315"/>
      <c r="HP13" s="315"/>
      <c r="HQ13" s="315"/>
      <c r="HR13" s="315"/>
      <c r="HS13" s="315"/>
      <c r="HT13" s="315"/>
      <c r="HU13" s="315"/>
      <c r="HV13" s="315"/>
      <c r="HW13" s="315"/>
      <c r="HX13" s="315"/>
      <c r="HY13" s="315"/>
      <c r="HZ13" s="315"/>
      <c r="IA13" s="315"/>
      <c r="IB13" s="315"/>
      <c r="IC13" s="315"/>
      <c r="ID13" s="315"/>
      <c r="IE13" s="315"/>
      <c r="IF13" s="315"/>
      <c r="IG13" s="315"/>
      <c r="IH13" s="315"/>
      <c r="II13" s="315"/>
      <c r="IJ13" s="315"/>
      <c r="IK13" s="315"/>
      <c r="IL13" s="315"/>
      <c r="IM13" s="315"/>
      <c r="IN13" s="315"/>
      <c r="IO13" s="315"/>
      <c r="IP13" s="315"/>
      <c r="IQ13" s="315"/>
      <c r="IR13" s="315"/>
    </row>
    <row r="14" spans="1:252" s="326" customFormat="1" ht="14.5">
      <c r="A14" s="316"/>
      <c r="B14" s="320" t="str">
        <f>'Income Statement Ann'!E18</f>
        <v xml:space="preserve">Asset Finance interest </v>
      </c>
      <c r="C14" s="292"/>
      <c r="D14" s="321">
        <f ca="1">'Income Statement Ann'!J18</f>
        <v>0</v>
      </c>
      <c r="E14" s="321">
        <f ca="1">'Income Statement Ann'!K18</f>
        <v>0</v>
      </c>
      <c r="F14" s="321">
        <f ca="1">'Income Statement Ann'!L18</f>
        <v>0</v>
      </c>
      <c r="G14" s="321">
        <f ca="1">'Income Statement Ann'!M18</f>
        <v>0</v>
      </c>
      <c r="H14" s="321">
        <f ca="1">'Income Statement Ann'!N18</f>
        <v>0</v>
      </c>
      <c r="I14" s="316"/>
      <c r="J14" s="316"/>
      <c r="K14" s="316"/>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row>
    <row r="15" spans="1:252" ht="15">
      <c r="A15" s="292"/>
      <c r="B15" s="322" t="str">
        <f>'Income Statement Ann'!E19</f>
        <v>Profit before tax</v>
      </c>
      <c r="C15" s="323"/>
      <c r="D15" s="324">
        <f ca="1">'Income Statement Ann'!J19</f>
        <v>2020171.8101000243</v>
      </c>
      <c r="E15" s="324">
        <f ca="1">'Income Statement Ann'!K19</f>
        <v>17697329.961922746</v>
      </c>
      <c r="F15" s="324">
        <f ca="1">'Income Statement Ann'!L19</f>
        <v>36884956.108273998</v>
      </c>
      <c r="G15" s="324">
        <f ca="1">'Income Statement Ann'!M19</f>
        <v>84974125.556850269</v>
      </c>
      <c r="H15" s="324">
        <f ca="1">'Income Statement Ann'!N19</f>
        <v>182024301.63900486</v>
      </c>
      <c r="I15" s="292"/>
      <c r="J15" s="292"/>
      <c r="K15" s="315"/>
      <c r="L15" s="315"/>
      <c r="M15" s="315"/>
      <c r="N15" s="315"/>
      <c r="O15" s="315"/>
      <c r="P15" s="315"/>
      <c r="Q15" s="315"/>
      <c r="R15" s="315"/>
      <c r="S15" s="315"/>
      <c r="T15" s="315"/>
      <c r="U15" s="315"/>
      <c r="V15" s="315"/>
      <c r="W15" s="315"/>
      <c r="X15" s="315"/>
      <c r="Y15" s="315"/>
      <c r="Z15" s="315"/>
      <c r="AA15" s="315"/>
      <c r="AB15" s="315"/>
      <c r="AC15" s="315"/>
      <c r="AD15" s="315"/>
      <c r="AE15" s="315"/>
      <c r="AF15" s="315"/>
      <c r="AG15" s="315"/>
      <c r="AH15" s="315"/>
      <c r="AI15" s="315"/>
      <c r="AJ15" s="315"/>
      <c r="AK15" s="315"/>
      <c r="AL15" s="315"/>
      <c r="AM15" s="315"/>
      <c r="AN15" s="315"/>
      <c r="AO15" s="315"/>
      <c r="AP15" s="315"/>
      <c r="AQ15" s="315"/>
      <c r="AR15" s="315"/>
      <c r="AS15" s="315"/>
      <c r="AT15" s="315"/>
      <c r="AU15" s="315"/>
      <c r="AV15" s="315"/>
      <c r="AW15" s="315"/>
      <c r="AX15" s="315"/>
      <c r="AY15" s="315"/>
      <c r="AZ15" s="315"/>
      <c r="BA15" s="315"/>
      <c r="BB15" s="315"/>
      <c r="BC15" s="315"/>
      <c r="BD15" s="315"/>
      <c r="BE15" s="315"/>
      <c r="BF15" s="315"/>
      <c r="BG15" s="315"/>
      <c r="BH15" s="315"/>
      <c r="BI15" s="315"/>
      <c r="BJ15" s="315"/>
      <c r="BK15" s="315"/>
      <c r="BL15" s="315"/>
      <c r="BM15" s="315"/>
      <c r="BN15" s="315"/>
      <c r="BO15" s="315"/>
      <c r="BP15" s="315"/>
      <c r="BQ15" s="315"/>
      <c r="BR15" s="315"/>
      <c r="BS15" s="315"/>
      <c r="BT15" s="315"/>
      <c r="BU15" s="315"/>
      <c r="BV15" s="315"/>
      <c r="BW15" s="315"/>
      <c r="BX15" s="315"/>
      <c r="BY15" s="315"/>
      <c r="BZ15" s="315"/>
      <c r="CA15" s="315"/>
      <c r="CB15" s="315"/>
      <c r="CC15" s="315"/>
      <c r="CD15" s="315"/>
      <c r="CE15" s="315"/>
      <c r="CF15" s="315"/>
      <c r="CG15" s="315"/>
      <c r="CH15" s="315"/>
      <c r="CI15" s="315"/>
      <c r="CJ15" s="315"/>
      <c r="CK15" s="315"/>
      <c r="CL15" s="315"/>
      <c r="CM15" s="315"/>
      <c r="CN15" s="315"/>
      <c r="CO15" s="315"/>
      <c r="CP15" s="315"/>
      <c r="CQ15" s="315"/>
      <c r="CR15" s="315"/>
      <c r="CS15" s="315"/>
      <c r="CT15" s="315"/>
      <c r="CU15" s="315"/>
      <c r="CV15" s="315"/>
      <c r="CW15" s="315"/>
      <c r="CX15" s="315"/>
      <c r="CY15" s="315"/>
      <c r="CZ15" s="315"/>
      <c r="DA15" s="315"/>
      <c r="DB15" s="315"/>
      <c r="DC15" s="315"/>
      <c r="DD15" s="315"/>
      <c r="DE15" s="315"/>
      <c r="DF15" s="315"/>
      <c r="DG15" s="315"/>
      <c r="DH15" s="315"/>
      <c r="DI15" s="315"/>
      <c r="DJ15" s="315"/>
      <c r="DK15" s="315"/>
      <c r="DL15" s="315"/>
      <c r="DM15" s="315"/>
      <c r="DN15" s="315"/>
      <c r="DO15" s="315"/>
      <c r="DP15" s="315"/>
      <c r="DQ15" s="315"/>
      <c r="DR15" s="315"/>
      <c r="DS15" s="315"/>
      <c r="DT15" s="315"/>
      <c r="DU15" s="315"/>
      <c r="DV15" s="315"/>
      <c r="DW15" s="315"/>
      <c r="DX15" s="315"/>
      <c r="DY15" s="315"/>
      <c r="DZ15" s="315"/>
      <c r="EA15" s="315"/>
      <c r="EB15" s="315"/>
      <c r="EC15" s="315"/>
      <c r="ED15" s="315"/>
      <c r="EE15" s="315"/>
      <c r="EF15" s="315"/>
      <c r="EG15" s="315"/>
      <c r="EH15" s="315"/>
      <c r="EI15" s="315"/>
      <c r="EJ15" s="315"/>
      <c r="EK15" s="315"/>
      <c r="EL15" s="315"/>
      <c r="EM15" s="315"/>
      <c r="EN15" s="315"/>
      <c r="EO15" s="315"/>
      <c r="EP15" s="315"/>
      <c r="EQ15" s="315"/>
      <c r="ER15" s="315"/>
      <c r="ES15" s="315"/>
      <c r="ET15" s="315"/>
      <c r="EU15" s="315"/>
      <c r="EV15" s="315"/>
      <c r="EW15" s="315"/>
      <c r="EX15" s="315"/>
      <c r="EY15" s="315"/>
      <c r="EZ15" s="315"/>
      <c r="FA15" s="315"/>
      <c r="FB15" s="315"/>
      <c r="FC15" s="315"/>
      <c r="FD15" s="315"/>
      <c r="FE15" s="315"/>
      <c r="FF15" s="315"/>
      <c r="FG15" s="315"/>
      <c r="FH15" s="315"/>
      <c r="FI15" s="315"/>
      <c r="FJ15" s="315"/>
      <c r="FK15" s="315"/>
      <c r="FL15" s="315"/>
      <c r="FM15" s="315"/>
      <c r="FN15" s="315"/>
      <c r="FO15" s="315"/>
      <c r="FP15" s="315"/>
      <c r="FQ15" s="315"/>
      <c r="FR15" s="315"/>
      <c r="FS15" s="315"/>
      <c r="FT15" s="315"/>
      <c r="FU15" s="315"/>
      <c r="FV15" s="315"/>
      <c r="FW15" s="315"/>
      <c r="FX15" s="315"/>
      <c r="FY15" s="315"/>
      <c r="FZ15" s="315"/>
      <c r="GA15" s="315"/>
      <c r="GB15" s="315"/>
      <c r="GC15" s="315"/>
      <c r="GD15" s="315"/>
      <c r="GE15" s="315"/>
      <c r="GF15" s="315"/>
      <c r="GG15" s="315"/>
      <c r="GH15" s="315"/>
      <c r="GI15" s="315"/>
      <c r="GJ15" s="315"/>
      <c r="GK15" s="315"/>
      <c r="GL15" s="315"/>
      <c r="GM15" s="315"/>
      <c r="GN15" s="315"/>
      <c r="GO15" s="315"/>
      <c r="GP15" s="315"/>
      <c r="GQ15" s="315"/>
      <c r="GR15" s="315"/>
      <c r="GS15" s="315"/>
      <c r="GT15" s="315"/>
      <c r="GU15" s="315"/>
      <c r="GV15" s="315"/>
      <c r="GW15" s="315"/>
      <c r="GX15" s="315"/>
      <c r="GY15" s="315"/>
      <c r="GZ15" s="315"/>
      <c r="HA15" s="315"/>
      <c r="HB15" s="315"/>
      <c r="HC15" s="315"/>
      <c r="HD15" s="315"/>
      <c r="HE15" s="315"/>
      <c r="HF15" s="315"/>
      <c r="HG15" s="315"/>
      <c r="HH15" s="315"/>
      <c r="HI15" s="315"/>
      <c r="HJ15" s="315"/>
      <c r="HK15" s="315"/>
      <c r="HL15" s="315"/>
      <c r="HM15" s="315"/>
      <c r="HN15" s="315"/>
      <c r="HO15" s="315"/>
      <c r="HP15" s="315"/>
      <c r="HQ15" s="315"/>
      <c r="HR15" s="315"/>
      <c r="HS15" s="315"/>
      <c r="HT15" s="315"/>
      <c r="HU15" s="315"/>
      <c r="HV15" s="315"/>
      <c r="HW15" s="315"/>
      <c r="HX15" s="315"/>
      <c r="HY15" s="315"/>
      <c r="HZ15" s="315"/>
      <c r="IA15" s="315"/>
      <c r="IB15" s="315"/>
      <c r="IC15" s="315"/>
      <c r="ID15" s="315"/>
      <c r="IE15" s="315"/>
      <c r="IF15" s="315"/>
      <c r="IG15" s="315"/>
      <c r="IH15" s="315"/>
      <c r="II15" s="315"/>
      <c r="IJ15" s="315"/>
      <c r="IK15" s="315"/>
      <c r="IL15" s="315"/>
      <c r="IM15" s="315"/>
      <c r="IN15" s="315"/>
      <c r="IO15" s="315"/>
      <c r="IP15" s="315"/>
      <c r="IQ15" s="315"/>
      <c r="IR15" s="315"/>
    </row>
    <row r="16" spans="1:252" ht="15">
      <c r="A16" s="292"/>
      <c r="B16" s="320"/>
      <c r="C16" s="292"/>
      <c r="D16" s="321"/>
      <c r="E16" s="321"/>
      <c r="F16" s="321"/>
      <c r="G16" s="321"/>
      <c r="H16" s="321"/>
      <c r="I16" s="292"/>
      <c r="J16" s="292"/>
      <c r="K16" s="315"/>
      <c r="L16" s="315"/>
      <c r="M16" s="315"/>
      <c r="N16" s="315"/>
      <c r="O16" s="315"/>
      <c r="P16" s="315"/>
      <c r="Q16" s="315"/>
      <c r="R16" s="315"/>
      <c r="S16" s="315"/>
      <c r="T16" s="315"/>
      <c r="U16" s="315"/>
      <c r="V16" s="315"/>
      <c r="W16" s="315"/>
      <c r="X16" s="315"/>
      <c r="Y16" s="315"/>
      <c r="Z16" s="315"/>
      <c r="AA16" s="315"/>
      <c r="AB16" s="315"/>
      <c r="AC16" s="315"/>
      <c r="AD16" s="315"/>
      <c r="AE16" s="315"/>
      <c r="AF16" s="315"/>
      <c r="AG16" s="315"/>
      <c r="AH16" s="315"/>
      <c r="AI16" s="315"/>
      <c r="AJ16" s="315"/>
      <c r="AK16" s="315"/>
      <c r="AL16" s="315"/>
      <c r="AM16" s="315"/>
      <c r="AN16" s="315"/>
      <c r="AO16" s="315"/>
      <c r="AP16" s="315"/>
      <c r="AQ16" s="315"/>
      <c r="AR16" s="315"/>
      <c r="AS16" s="315"/>
      <c r="AT16" s="315"/>
      <c r="AU16" s="315"/>
      <c r="AV16" s="315"/>
      <c r="AW16" s="315"/>
      <c r="AX16" s="315"/>
      <c r="AY16" s="315"/>
      <c r="AZ16" s="315"/>
      <c r="BA16" s="315"/>
      <c r="BB16" s="315"/>
      <c r="BC16" s="315"/>
      <c r="BD16" s="315"/>
      <c r="BE16" s="315"/>
      <c r="BF16" s="315"/>
      <c r="BG16" s="315"/>
      <c r="BH16" s="315"/>
      <c r="BI16" s="315"/>
      <c r="BJ16" s="315"/>
      <c r="BK16" s="315"/>
      <c r="BL16" s="315"/>
      <c r="BM16" s="315"/>
      <c r="BN16" s="315"/>
      <c r="BO16" s="315"/>
      <c r="BP16" s="315"/>
      <c r="BQ16" s="315"/>
      <c r="BR16" s="315"/>
      <c r="BS16" s="315"/>
      <c r="BT16" s="315"/>
      <c r="BU16" s="315"/>
      <c r="BV16" s="315"/>
      <c r="BW16" s="315"/>
      <c r="BX16" s="315"/>
      <c r="BY16" s="315"/>
      <c r="BZ16" s="315"/>
      <c r="CA16" s="315"/>
      <c r="CB16" s="315"/>
      <c r="CC16" s="315"/>
      <c r="CD16" s="315"/>
      <c r="CE16" s="315"/>
      <c r="CF16" s="315"/>
      <c r="CG16" s="315"/>
      <c r="CH16" s="315"/>
      <c r="CI16" s="315"/>
      <c r="CJ16" s="315"/>
      <c r="CK16" s="315"/>
      <c r="CL16" s="315"/>
      <c r="CM16" s="315"/>
      <c r="CN16" s="315"/>
      <c r="CO16" s="315"/>
      <c r="CP16" s="315"/>
      <c r="CQ16" s="315"/>
      <c r="CR16" s="315"/>
      <c r="CS16" s="315"/>
      <c r="CT16" s="315"/>
      <c r="CU16" s="315"/>
      <c r="CV16" s="315"/>
      <c r="CW16" s="315"/>
      <c r="CX16" s="315"/>
      <c r="CY16" s="315"/>
      <c r="CZ16" s="315"/>
      <c r="DA16" s="315"/>
      <c r="DB16" s="315"/>
      <c r="DC16" s="315"/>
      <c r="DD16" s="315"/>
      <c r="DE16" s="315"/>
      <c r="DF16" s="315"/>
      <c r="DG16" s="315"/>
      <c r="DH16" s="315"/>
      <c r="DI16" s="315"/>
      <c r="DJ16" s="315"/>
      <c r="DK16" s="315"/>
      <c r="DL16" s="315"/>
      <c r="DM16" s="315"/>
      <c r="DN16" s="315"/>
      <c r="DO16" s="315"/>
      <c r="DP16" s="315"/>
      <c r="DQ16" s="315"/>
      <c r="DR16" s="315"/>
      <c r="DS16" s="315"/>
      <c r="DT16" s="315"/>
      <c r="DU16" s="315"/>
      <c r="DV16" s="315"/>
      <c r="DW16" s="315"/>
      <c r="DX16" s="315"/>
      <c r="DY16" s="315"/>
      <c r="DZ16" s="315"/>
      <c r="EA16" s="315"/>
      <c r="EB16" s="315"/>
      <c r="EC16" s="315"/>
      <c r="ED16" s="315"/>
      <c r="EE16" s="315"/>
      <c r="EF16" s="315"/>
      <c r="EG16" s="315"/>
      <c r="EH16" s="315"/>
      <c r="EI16" s="315"/>
      <c r="EJ16" s="315"/>
      <c r="EK16" s="315"/>
      <c r="EL16" s="315"/>
      <c r="EM16" s="315"/>
      <c r="EN16" s="315"/>
      <c r="EO16" s="315"/>
      <c r="EP16" s="315"/>
      <c r="EQ16" s="315"/>
      <c r="ER16" s="315"/>
      <c r="ES16" s="315"/>
      <c r="ET16" s="315"/>
      <c r="EU16" s="315"/>
      <c r="EV16" s="315"/>
      <c r="EW16" s="315"/>
      <c r="EX16" s="315"/>
      <c r="EY16" s="315"/>
      <c r="EZ16" s="315"/>
      <c r="FA16" s="315"/>
      <c r="FB16" s="315"/>
      <c r="FC16" s="315"/>
      <c r="FD16" s="315"/>
      <c r="FE16" s="315"/>
      <c r="FF16" s="315"/>
      <c r="FG16" s="315"/>
      <c r="FH16" s="315"/>
      <c r="FI16" s="315"/>
      <c r="FJ16" s="315"/>
      <c r="FK16" s="315"/>
      <c r="FL16" s="315"/>
      <c r="FM16" s="315"/>
      <c r="FN16" s="315"/>
      <c r="FO16" s="315"/>
      <c r="FP16" s="315"/>
      <c r="FQ16" s="315"/>
      <c r="FR16" s="315"/>
      <c r="FS16" s="315"/>
      <c r="FT16" s="315"/>
      <c r="FU16" s="315"/>
      <c r="FV16" s="315"/>
      <c r="FW16" s="315"/>
      <c r="FX16" s="315"/>
      <c r="FY16" s="315"/>
      <c r="FZ16" s="315"/>
      <c r="GA16" s="315"/>
      <c r="GB16" s="315"/>
      <c r="GC16" s="315"/>
      <c r="GD16" s="315"/>
      <c r="GE16" s="315"/>
      <c r="GF16" s="315"/>
      <c r="GG16" s="315"/>
      <c r="GH16" s="315"/>
      <c r="GI16" s="315"/>
      <c r="GJ16" s="315"/>
      <c r="GK16" s="315"/>
      <c r="GL16" s="315"/>
      <c r="GM16" s="315"/>
      <c r="GN16" s="315"/>
      <c r="GO16" s="315"/>
      <c r="GP16" s="315"/>
      <c r="GQ16" s="315"/>
      <c r="GR16" s="315"/>
      <c r="GS16" s="315"/>
      <c r="GT16" s="315"/>
      <c r="GU16" s="315"/>
      <c r="GV16" s="315"/>
      <c r="GW16" s="315"/>
      <c r="GX16" s="315"/>
      <c r="GY16" s="315"/>
      <c r="GZ16" s="315"/>
      <c r="HA16" s="315"/>
      <c r="HB16" s="315"/>
      <c r="HC16" s="315"/>
      <c r="HD16" s="315"/>
      <c r="HE16" s="315"/>
      <c r="HF16" s="315"/>
      <c r="HG16" s="315"/>
      <c r="HH16" s="315"/>
      <c r="HI16" s="315"/>
      <c r="HJ16" s="315"/>
      <c r="HK16" s="315"/>
      <c r="HL16" s="315"/>
      <c r="HM16" s="315"/>
      <c r="HN16" s="315"/>
      <c r="HO16" s="315"/>
      <c r="HP16" s="315"/>
      <c r="HQ16" s="315"/>
      <c r="HR16" s="315"/>
      <c r="HS16" s="315"/>
      <c r="HT16" s="315"/>
      <c r="HU16" s="315"/>
      <c r="HV16" s="315"/>
      <c r="HW16" s="315"/>
      <c r="HX16" s="315"/>
      <c r="HY16" s="315"/>
      <c r="HZ16" s="315"/>
      <c r="IA16" s="315"/>
      <c r="IB16" s="315"/>
      <c r="IC16" s="315"/>
      <c r="ID16" s="315"/>
      <c r="IE16" s="315"/>
      <c r="IF16" s="315"/>
      <c r="IG16" s="315"/>
      <c r="IH16" s="315"/>
      <c r="II16" s="315"/>
      <c r="IJ16" s="315"/>
      <c r="IK16" s="315"/>
      <c r="IL16" s="315"/>
      <c r="IM16" s="315"/>
      <c r="IN16" s="315"/>
      <c r="IO16" s="315"/>
      <c r="IP16" s="315"/>
      <c r="IQ16" s="315"/>
      <c r="IR16" s="315"/>
    </row>
    <row r="17" spans="1:252" ht="15">
      <c r="A17" s="292"/>
      <c r="B17" s="320" t="str">
        <f>'Income Statement Ann'!E21</f>
        <v xml:space="preserve">Corporation tax </v>
      </c>
      <c r="C17" s="292"/>
      <c r="D17" s="321">
        <f ca="1">'Income Statement Ann'!J21</f>
        <v>-450976.02868667158</v>
      </c>
      <c r="E17" s="321">
        <f ca="1">'Income Statement Ann'!K21</f>
        <v>-3720299.3257178832</v>
      </c>
      <c r="F17" s="321">
        <f ca="1">'Income Statement Ann'!L21</f>
        <v>-7765782.8883214667</v>
      </c>
      <c r="G17" s="321">
        <f ca="1">'Income Statement Ann'!M21</f>
        <v>-17885825.99007161</v>
      </c>
      <c r="H17" s="321">
        <f ca="1">'Income Statement Ann'!N21</f>
        <v>-38295995.227998063</v>
      </c>
      <c r="I17" s="292"/>
      <c r="J17" s="292"/>
      <c r="K17" s="315"/>
      <c r="L17" s="315"/>
      <c r="M17" s="315"/>
      <c r="N17" s="315"/>
      <c r="O17" s="315"/>
      <c r="P17" s="315"/>
      <c r="Q17" s="315"/>
      <c r="R17" s="315"/>
      <c r="S17" s="315"/>
      <c r="T17" s="315"/>
      <c r="U17" s="315"/>
      <c r="V17" s="315"/>
      <c r="W17" s="315"/>
      <c r="X17" s="315"/>
      <c r="Y17" s="315"/>
      <c r="Z17" s="315"/>
      <c r="AA17" s="315"/>
      <c r="AB17" s="315"/>
      <c r="AC17" s="315"/>
      <c r="AD17" s="315"/>
      <c r="AE17" s="315"/>
      <c r="AF17" s="315"/>
      <c r="AG17" s="315"/>
      <c r="AH17" s="315"/>
      <c r="AI17" s="315"/>
      <c r="AJ17" s="315"/>
      <c r="AK17" s="315"/>
      <c r="AL17" s="315"/>
      <c r="AM17" s="315"/>
      <c r="AN17" s="315"/>
      <c r="AO17" s="315"/>
      <c r="AP17" s="315"/>
      <c r="AQ17" s="315"/>
      <c r="AR17" s="315"/>
      <c r="AS17" s="315"/>
      <c r="AT17" s="315"/>
      <c r="AU17" s="315"/>
      <c r="AV17" s="315"/>
      <c r="AW17" s="315"/>
      <c r="AX17" s="315"/>
      <c r="AY17" s="315"/>
      <c r="AZ17" s="315"/>
      <c r="BA17" s="315"/>
      <c r="BB17" s="315"/>
      <c r="BC17" s="315"/>
      <c r="BD17" s="315"/>
      <c r="BE17" s="315"/>
      <c r="BF17" s="315"/>
      <c r="BG17" s="315"/>
      <c r="BH17" s="315"/>
      <c r="BI17" s="315"/>
      <c r="BJ17" s="315"/>
      <c r="BK17" s="315"/>
      <c r="BL17" s="315"/>
      <c r="BM17" s="315"/>
      <c r="BN17" s="315"/>
      <c r="BO17" s="315"/>
      <c r="BP17" s="315"/>
      <c r="BQ17" s="315"/>
      <c r="BR17" s="315"/>
      <c r="BS17" s="315"/>
      <c r="BT17" s="315"/>
      <c r="BU17" s="315"/>
      <c r="BV17" s="315"/>
      <c r="BW17" s="315"/>
      <c r="BX17" s="315"/>
      <c r="BY17" s="315"/>
      <c r="BZ17" s="315"/>
      <c r="CA17" s="315"/>
      <c r="CB17" s="315"/>
      <c r="CC17" s="315"/>
      <c r="CD17" s="315"/>
      <c r="CE17" s="315"/>
      <c r="CF17" s="315"/>
      <c r="CG17" s="315"/>
      <c r="CH17" s="315"/>
      <c r="CI17" s="315"/>
      <c r="CJ17" s="315"/>
      <c r="CK17" s="315"/>
      <c r="CL17" s="315"/>
      <c r="CM17" s="315"/>
      <c r="CN17" s="315"/>
      <c r="CO17" s="315"/>
      <c r="CP17" s="315"/>
      <c r="CQ17" s="315"/>
      <c r="CR17" s="315"/>
      <c r="CS17" s="315"/>
      <c r="CT17" s="315"/>
      <c r="CU17" s="315"/>
      <c r="CV17" s="315"/>
      <c r="CW17" s="315"/>
      <c r="CX17" s="315"/>
      <c r="CY17" s="315"/>
      <c r="CZ17" s="315"/>
      <c r="DA17" s="315"/>
      <c r="DB17" s="315"/>
      <c r="DC17" s="315"/>
      <c r="DD17" s="315"/>
      <c r="DE17" s="315"/>
      <c r="DF17" s="315"/>
      <c r="DG17" s="315"/>
      <c r="DH17" s="315"/>
      <c r="DI17" s="315"/>
      <c r="DJ17" s="315"/>
      <c r="DK17" s="315"/>
      <c r="DL17" s="315"/>
      <c r="DM17" s="315"/>
      <c r="DN17" s="315"/>
      <c r="DO17" s="315"/>
      <c r="DP17" s="315"/>
      <c r="DQ17" s="315"/>
      <c r="DR17" s="315"/>
      <c r="DS17" s="315"/>
      <c r="DT17" s="315"/>
      <c r="DU17" s="315"/>
      <c r="DV17" s="315"/>
      <c r="DW17" s="315"/>
      <c r="DX17" s="315"/>
      <c r="DY17" s="315"/>
      <c r="DZ17" s="315"/>
      <c r="EA17" s="315"/>
      <c r="EB17" s="315"/>
      <c r="EC17" s="315"/>
      <c r="ED17" s="315"/>
      <c r="EE17" s="315"/>
      <c r="EF17" s="315"/>
      <c r="EG17" s="315"/>
      <c r="EH17" s="315"/>
      <c r="EI17" s="315"/>
      <c r="EJ17" s="315"/>
      <c r="EK17" s="315"/>
      <c r="EL17" s="315"/>
      <c r="EM17" s="315"/>
      <c r="EN17" s="315"/>
      <c r="EO17" s="315"/>
      <c r="EP17" s="315"/>
      <c r="EQ17" s="315"/>
      <c r="ER17" s="315"/>
      <c r="ES17" s="315"/>
      <c r="ET17" s="315"/>
      <c r="EU17" s="315"/>
      <c r="EV17" s="315"/>
      <c r="EW17" s="315"/>
      <c r="EX17" s="315"/>
      <c r="EY17" s="315"/>
      <c r="EZ17" s="315"/>
      <c r="FA17" s="315"/>
      <c r="FB17" s="315"/>
      <c r="FC17" s="315"/>
      <c r="FD17" s="315"/>
      <c r="FE17" s="315"/>
      <c r="FF17" s="315"/>
      <c r="FG17" s="315"/>
      <c r="FH17" s="315"/>
      <c r="FI17" s="315"/>
      <c r="FJ17" s="315"/>
      <c r="FK17" s="315"/>
      <c r="FL17" s="315"/>
      <c r="FM17" s="315"/>
      <c r="FN17" s="315"/>
      <c r="FO17" s="315"/>
      <c r="FP17" s="315"/>
      <c r="FQ17" s="315"/>
      <c r="FR17" s="315"/>
      <c r="FS17" s="315"/>
      <c r="FT17" s="315"/>
      <c r="FU17" s="315"/>
      <c r="FV17" s="315"/>
      <c r="FW17" s="315"/>
      <c r="FX17" s="315"/>
      <c r="FY17" s="315"/>
      <c r="FZ17" s="315"/>
      <c r="GA17" s="315"/>
      <c r="GB17" s="315"/>
      <c r="GC17" s="315"/>
      <c r="GD17" s="315"/>
      <c r="GE17" s="315"/>
      <c r="GF17" s="315"/>
      <c r="GG17" s="315"/>
      <c r="GH17" s="315"/>
      <c r="GI17" s="315"/>
      <c r="GJ17" s="315"/>
      <c r="GK17" s="315"/>
      <c r="GL17" s="315"/>
      <c r="GM17" s="315"/>
      <c r="GN17" s="315"/>
      <c r="GO17" s="315"/>
      <c r="GP17" s="315"/>
      <c r="GQ17" s="315"/>
      <c r="GR17" s="315"/>
      <c r="GS17" s="315"/>
      <c r="GT17" s="315"/>
      <c r="GU17" s="315"/>
      <c r="GV17" s="315"/>
      <c r="GW17" s="315"/>
      <c r="GX17" s="315"/>
      <c r="GY17" s="315"/>
      <c r="GZ17" s="315"/>
      <c r="HA17" s="315"/>
      <c r="HB17" s="315"/>
      <c r="HC17" s="315"/>
      <c r="HD17" s="315"/>
      <c r="HE17" s="315"/>
      <c r="HF17" s="315"/>
      <c r="HG17" s="315"/>
      <c r="HH17" s="315"/>
      <c r="HI17" s="315"/>
      <c r="HJ17" s="315"/>
      <c r="HK17" s="315"/>
      <c r="HL17" s="315"/>
      <c r="HM17" s="315"/>
      <c r="HN17" s="315"/>
      <c r="HO17" s="315"/>
      <c r="HP17" s="315"/>
      <c r="HQ17" s="315"/>
      <c r="HR17" s="315"/>
      <c r="HS17" s="315"/>
      <c r="HT17" s="315"/>
      <c r="HU17" s="315"/>
      <c r="HV17" s="315"/>
      <c r="HW17" s="315"/>
      <c r="HX17" s="315"/>
      <c r="HY17" s="315"/>
      <c r="HZ17" s="315"/>
      <c r="IA17" s="315"/>
      <c r="IB17" s="315"/>
      <c r="IC17" s="315"/>
      <c r="ID17" s="315"/>
      <c r="IE17" s="315"/>
      <c r="IF17" s="315"/>
      <c r="IG17" s="315"/>
      <c r="IH17" s="315"/>
      <c r="II17" s="315"/>
      <c r="IJ17" s="315"/>
      <c r="IK17" s="315"/>
      <c r="IL17" s="315"/>
      <c r="IM17" s="315"/>
      <c r="IN17" s="315"/>
      <c r="IO17" s="315"/>
      <c r="IP17" s="315"/>
      <c r="IQ17" s="315"/>
      <c r="IR17" s="315"/>
    </row>
    <row r="18" spans="1:252" ht="15">
      <c r="A18" s="292"/>
      <c r="B18" s="322" t="str">
        <f>'Income Statement Ann'!E22</f>
        <v>Retained Earnings this period</v>
      </c>
      <c r="C18" s="323"/>
      <c r="D18" s="324">
        <f ca="1">'Income Statement Ann'!J22</f>
        <v>1569195.781413353</v>
      </c>
      <c r="E18" s="324">
        <f ca="1">'Income Statement Ann'!K22</f>
        <v>13977030.636204865</v>
      </c>
      <c r="F18" s="324">
        <f ca="1">'Income Statement Ann'!L22</f>
        <v>29119173.219952535</v>
      </c>
      <c r="G18" s="324">
        <f ca="1">'Income Statement Ann'!M22</f>
        <v>67088299.56677866</v>
      </c>
      <c r="H18" s="324">
        <f ca="1">'Income Statement Ann'!N22</f>
        <v>143728306.41100675</v>
      </c>
      <c r="I18" s="292"/>
      <c r="J18" s="292"/>
      <c r="K18" s="315"/>
      <c r="L18" s="315"/>
      <c r="M18" s="315"/>
      <c r="N18" s="315"/>
      <c r="O18" s="315"/>
      <c r="P18" s="315"/>
      <c r="Q18" s="315"/>
      <c r="R18" s="315"/>
      <c r="S18" s="315"/>
      <c r="T18" s="315"/>
      <c r="U18" s="315"/>
      <c r="V18" s="315"/>
      <c r="W18" s="315"/>
      <c r="X18" s="315"/>
      <c r="Y18" s="315"/>
      <c r="Z18" s="315"/>
      <c r="AA18" s="315"/>
      <c r="AB18" s="315"/>
      <c r="AC18" s="315"/>
      <c r="AD18" s="315"/>
      <c r="AE18" s="315"/>
      <c r="AF18" s="315"/>
      <c r="AG18" s="315"/>
      <c r="AH18" s="315"/>
      <c r="AI18" s="315"/>
      <c r="AJ18" s="315"/>
      <c r="AK18" s="315"/>
      <c r="AL18" s="315"/>
      <c r="AM18" s="315"/>
      <c r="AN18" s="315"/>
      <c r="AO18" s="315"/>
      <c r="AP18" s="315"/>
      <c r="AQ18" s="315"/>
      <c r="AR18" s="315"/>
      <c r="AS18" s="315"/>
      <c r="AT18" s="315"/>
      <c r="AU18" s="315"/>
      <c r="AV18" s="315"/>
      <c r="AW18" s="315"/>
      <c r="AX18" s="315"/>
      <c r="AY18" s="315"/>
      <c r="AZ18" s="315"/>
      <c r="BA18" s="315"/>
      <c r="BB18" s="315"/>
      <c r="BC18" s="315"/>
      <c r="BD18" s="315"/>
      <c r="BE18" s="315"/>
      <c r="BF18" s="315"/>
      <c r="BG18" s="315"/>
      <c r="BH18" s="315"/>
      <c r="BI18" s="315"/>
      <c r="BJ18" s="315"/>
      <c r="BK18" s="315"/>
      <c r="BL18" s="315"/>
      <c r="BM18" s="315"/>
      <c r="BN18" s="315"/>
      <c r="BO18" s="315"/>
      <c r="BP18" s="315"/>
      <c r="BQ18" s="315"/>
      <c r="BR18" s="315"/>
      <c r="BS18" s="315"/>
      <c r="BT18" s="315"/>
      <c r="BU18" s="315"/>
      <c r="BV18" s="315"/>
      <c r="BW18" s="315"/>
      <c r="BX18" s="315"/>
      <c r="BY18" s="315"/>
      <c r="BZ18" s="315"/>
      <c r="CA18" s="315"/>
      <c r="CB18" s="315"/>
      <c r="CC18" s="315"/>
      <c r="CD18" s="315"/>
      <c r="CE18" s="315"/>
      <c r="CF18" s="315"/>
      <c r="CG18" s="315"/>
      <c r="CH18" s="315"/>
      <c r="CI18" s="315"/>
      <c r="CJ18" s="315"/>
      <c r="CK18" s="315"/>
      <c r="CL18" s="315"/>
      <c r="CM18" s="315"/>
      <c r="CN18" s="315"/>
      <c r="CO18" s="315"/>
      <c r="CP18" s="315"/>
      <c r="CQ18" s="315"/>
      <c r="CR18" s="315"/>
      <c r="CS18" s="315"/>
      <c r="CT18" s="315"/>
      <c r="CU18" s="315"/>
      <c r="CV18" s="315"/>
      <c r="CW18" s="315"/>
      <c r="CX18" s="315"/>
      <c r="CY18" s="315"/>
      <c r="CZ18" s="315"/>
      <c r="DA18" s="315"/>
      <c r="DB18" s="315"/>
      <c r="DC18" s="315"/>
      <c r="DD18" s="315"/>
      <c r="DE18" s="315"/>
      <c r="DF18" s="315"/>
      <c r="DG18" s="315"/>
      <c r="DH18" s="315"/>
      <c r="DI18" s="315"/>
      <c r="DJ18" s="315"/>
      <c r="DK18" s="315"/>
      <c r="DL18" s="315"/>
      <c r="DM18" s="315"/>
      <c r="DN18" s="315"/>
      <c r="DO18" s="315"/>
      <c r="DP18" s="315"/>
      <c r="DQ18" s="315"/>
      <c r="DR18" s="315"/>
      <c r="DS18" s="315"/>
      <c r="DT18" s="315"/>
      <c r="DU18" s="315"/>
      <c r="DV18" s="315"/>
      <c r="DW18" s="315"/>
      <c r="DX18" s="315"/>
      <c r="DY18" s="315"/>
      <c r="DZ18" s="315"/>
      <c r="EA18" s="315"/>
      <c r="EB18" s="315"/>
      <c r="EC18" s="315"/>
      <c r="ED18" s="315"/>
      <c r="EE18" s="315"/>
      <c r="EF18" s="315"/>
      <c r="EG18" s="315"/>
      <c r="EH18" s="315"/>
      <c r="EI18" s="315"/>
      <c r="EJ18" s="315"/>
      <c r="EK18" s="315"/>
      <c r="EL18" s="315"/>
      <c r="EM18" s="315"/>
      <c r="EN18" s="315"/>
      <c r="EO18" s="315"/>
      <c r="EP18" s="315"/>
      <c r="EQ18" s="315"/>
      <c r="ER18" s="315"/>
      <c r="ES18" s="315"/>
      <c r="ET18" s="315"/>
      <c r="EU18" s="315"/>
      <c r="EV18" s="315"/>
      <c r="EW18" s="315"/>
      <c r="EX18" s="315"/>
      <c r="EY18" s="315"/>
      <c r="EZ18" s="315"/>
      <c r="FA18" s="315"/>
      <c r="FB18" s="315"/>
      <c r="FC18" s="315"/>
      <c r="FD18" s="315"/>
      <c r="FE18" s="315"/>
      <c r="FF18" s="315"/>
      <c r="FG18" s="315"/>
      <c r="FH18" s="315"/>
      <c r="FI18" s="315"/>
      <c r="FJ18" s="315"/>
      <c r="FK18" s="315"/>
      <c r="FL18" s="315"/>
      <c r="FM18" s="315"/>
      <c r="FN18" s="315"/>
      <c r="FO18" s="315"/>
      <c r="FP18" s="315"/>
      <c r="FQ18" s="315"/>
      <c r="FR18" s="315"/>
      <c r="FS18" s="315"/>
      <c r="FT18" s="315"/>
      <c r="FU18" s="315"/>
      <c r="FV18" s="315"/>
      <c r="FW18" s="315"/>
      <c r="FX18" s="315"/>
      <c r="FY18" s="315"/>
      <c r="FZ18" s="315"/>
      <c r="GA18" s="315"/>
      <c r="GB18" s="315"/>
      <c r="GC18" s="315"/>
      <c r="GD18" s="315"/>
      <c r="GE18" s="315"/>
      <c r="GF18" s="315"/>
      <c r="GG18" s="315"/>
      <c r="GH18" s="315"/>
      <c r="GI18" s="315"/>
      <c r="GJ18" s="315"/>
      <c r="GK18" s="315"/>
      <c r="GL18" s="315"/>
      <c r="GM18" s="315"/>
      <c r="GN18" s="315"/>
      <c r="GO18" s="315"/>
      <c r="GP18" s="315"/>
      <c r="GQ18" s="315"/>
      <c r="GR18" s="315"/>
      <c r="GS18" s="315"/>
      <c r="GT18" s="315"/>
      <c r="GU18" s="315"/>
      <c r="GV18" s="315"/>
      <c r="GW18" s="315"/>
      <c r="GX18" s="315"/>
      <c r="GY18" s="315"/>
      <c r="GZ18" s="315"/>
      <c r="HA18" s="315"/>
      <c r="HB18" s="315"/>
      <c r="HC18" s="315"/>
      <c r="HD18" s="315"/>
      <c r="HE18" s="315"/>
      <c r="HF18" s="315"/>
      <c r="HG18" s="315"/>
      <c r="HH18" s="315"/>
      <c r="HI18" s="315"/>
      <c r="HJ18" s="315"/>
      <c r="HK18" s="315"/>
      <c r="HL18" s="315"/>
      <c r="HM18" s="315"/>
      <c r="HN18" s="315"/>
      <c r="HO18" s="315"/>
      <c r="HP18" s="315"/>
      <c r="HQ18" s="315"/>
      <c r="HR18" s="315"/>
      <c r="HS18" s="315"/>
      <c r="HT18" s="315"/>
      <c r="HU18" s="315"/>
      <c r="HV18" s="315"/>
      <c r="HW18" s="315"/>
      <c r="HX18" s="315"/>
      <c r="HY18" s="315"/>
      <c r="HZ18" s="315"/>
      <c r="IA18" s="315"/>
      <c r="IB18" s="315"/>
      <c r="IC18" s="315"/>
      <c r="ID18" s="315"/>
      <c r="IE18" s="315"/>
      <c r="IF18" s="315"/>
      <c r="IG18" s="315"/>
      <c r="IH18" s="315"/>
      <c r="II18" s="315"/>
      <c r="IJ18" s="315"/>
      <c r="IK18" s="315"/>
      <c r="IL18" s="315"/>
      <c r="IM18" s="315"/>
      <c r="IN18" s="315"/>
      <c r="IO18" s="315"/>
      <c r="IP18" s="315"/>
      <c r="IQ18" s="315"/>
      <c r="IR18" s="315"/>
    </row>
    <row r="19" spans="1:252" ht="15">
      <c r="A19" s="292"/>
      <c r="B19" s="320"/>
      <c r="C19" s="292"/>
      <c r="D19" s="321"/>
      <c r="E19" s="321"/>
      <c r="F19" s="321"/>
      <c r="G19" s="321"/>
      <c r="H19" s="321"/>
      <c r="I19" s="292"/>
      <c r="J19" s="292"/>
      <c r="K19" s="315"/>
      <c r="L19" s="315"/>
      <c r="M19" s="315"/>
      <c r="N19" s="315"/>
      <c r="O19" s="315"/>
      <c r="P19" s="315"/>
      <c r="Q19" s="315"/>
      <c r="R19" s="315"/>
      <c r="S19" s="315"/>
      <c r="T19" s="315"/>
      <c r="U19" s="315"/>
      <c r="V19" s="315"/>
      <c r="W19" s="315"/>
      <c r="X19" s="315"/>
      <c r="Y19" s="315"/>
      <c r="Z19" s="315"/>
      <c r="AA19" s="315"/>
      <c r="AB19" s="315"/>
      <c r="AC19" s="315"/>
      <c r="AD19" s="315"/>
      <c r="AE19" s="315"/>
      <c r="AF19" s="315"/>
      <c r="AG19" s="315"/>
      <c r="AH19" s="315"/>
      <c r="AI19" s="315"/>
      <c r="AJ19" s="315"/>
      <c r="AK19" s="315"/>
      <c r="AL19" s="315"/>
      <c r="AM19" s="315"/>
      <c r="AN19" s="315"/>
      <c r="AO19" s="315"/>
      <c r="AP19" s="315"/>
      <c r="AQ19" s="315"/>
      <c r="AR19" s="315"/>
      <c r="AS19" s="315"/>
      <c r="AT19" s="315"/>
      <c r="AU19" s="315"/>
      <c r="AV19" s="315"/>
      <c r="AW19" s="315"/>
      <c r="AX19" s="315"/>
      <c r="AY19" s="315"/>
      <c r="AZ19" s="315"/>
      <c r="BA19" s="315"/>
      <c r="BB19" s="315"/>
      <c r="BC19" s="315"/>
      <c r="BD19" s="315"/>
      <c r="BE19" s="315"/>
      <c r="BF19" s="315"/>
      <c r="BG19" s="315"/>
      <c r="BH19" s="315"/>
      <c r="BI19" s="315"/>
      <c r="BJ19" s="315"/>
      <c r="BK19" s="315"/>
      <c r="BL19" s="315"/>
      <c r="BM19" s="315"/>
      <c r="BN19" s="315"/>
      <c r="BO19" s="315"/>
      <c r="BP19" s="315"/>
      <c r="BQ19" s="315"/>
      <c r="BR19" s="315"/>
      <c r="BS19" s="315"/>
      <c r="BT19" s="315"/>
      <c r="BU19" s="315"/>
      <c r="BV19" s="315"/>
      <c r="BW19" s="315"/>
      <c r="BX19" s="315"/>
      <c r="BY19" s="315"/>
      <c r="BZ19" s="315"/>
      <c r="CA19" s="315"/>
      <c r="CB19" s="315"/>
      <c r="CC19" s="315"/>
      <c r="CD19" s="315"/>
      <c r="CE19" s="315"/>
      <c r="CF19" s="315"/>
      <c r="CG19" s="315"/>
      <c r="CH19" s="315"/>
      <c r="CI19" s="315"/>
      <c r="CJ19" s="315"/>
      <c r="CK19" s="315"/>
      <c r="CL19" s="315"/>
      <c r="CM19" s="315"/>
      <c r="CN19" s="315"/>
      <c r="CO19" s="315"/>
      <c r="CP19" s="315"/>
      <c r="CQ19" s="315"/>
      <c r="CR19" s="315"/>
      <c r="CS19" s="315"/>
      <c r="CT19" s="315"/>
      <c r="CU19" s="315"/>
      <c r="CV19" s="315"/>
      <c r="CW19" s="315"/>
      <c r="CX19" s="315"/>
      <c r="CY19" s="315"/>
      <c r="CZ19" s="315"/>
      <c r="DA19" s="315"/>
      <c r="DB19" s="315"/>
      <c r="DC19" s="315"/>
      <c r="DD19" s="315"/>
      <c r="DE19" s="315"/>
      <c r="DF19" s="315"/>
      <c r="DG19" s="315"/>
      <c r="DH19" s="315"/>
      <c r="DI19" s="315"/>
      <c r="DJ19" s="315"/>
      <c r="DK19" s="315"/>
      <c r="DL19" s="315"/>
      <c r="DM19" s="315"/>
      <c r="DN19" s="315"/>
      <c r="DO19" s="315"/>
      <c r="DP19" s="315"/>
      <c r="DQ19" s="315"/>
      <c r="DR19" s="315"/>
      <c r="DS19" s="315"/>
      <c r="DT19" s="315"/>
      <c r="DU19" s="315"/>
      <c r="DV19" s="315"/>
      <c r="DW19" s="315"/>
      <c r="DX19" s="315"/>
      <c r="DY19" s="315"/>
      <c r="DZ19" s="315"/>
      <c r="EA19" s="315"/>
      <c r="EB19" s="315"/>
      <c r="EC19" s="315"/>
      <c r="ED19" s="315"/>
      <c r="EE19" s="315"/>
      <c r="EF19" s="315"/>
      <c r="EG19" s="315"/>
      <c r="EH19" s="315"/>
      <c r="EI19" s="315"/>
      <c r="EJ19" s="315"/>
      <c r="EK19" s="315"/>
      <c r="EL19" s="315"/>
      <c r="EM19" s="315"/>
      <c r="EN19" s="315"/>
      <c r="EO19" s="315"/>
      <c r="EP19" s="315"/>
      <c r="EQ19" s="315"/>
      <c r="ER19" s="315"/>
      <c r="ES19" s="315"/>
      <c r="ET19" s="315"/>
      <c r="EU19" s="315"/>
      <c r="EV19" s="315"/>
      <c r="EW19" s="315"/>
      <c r="EX19" s="315"/>
      <c r="EY19" s="315"/>
      <c r="EZ19" s="315"/>
      <c r="FA19" s="315"/>
      <c r="FB19" s="315"/>
      <c r="FC19" s="315"/>
      <c r="FD19" s="315"/>
      <c r="FE19" s="315"/>
      <c r="FF19" s="315"/>
      <c r="FG19" s="315"/>
      <c r="FH19" s="315"/>
      <c r="FI19" s="315"/>
      <c r="FJ19" s="315"/>
      <c r="FK19" s="315"/>
      <c r="FL19" s="315"/>
      <c r="FM19" s="315"/>
      <c r="FN19" s="315"/>
      <c r="FO19" s="315"/>
      <c r="FP19" s="315"/>
      <c r="FQ19" s="315"/>
      <c r="FR19" s="315"/>
      <c r="FS19" s="315"/>
      <c r="FT19" s="315"/>
      <c r="FU19" s="315"/>
      <c r="FV19" s="315"/>
      <c r="FW19" s="315"/>
      <c r="FX19" s="315"/>
      <c r="FY19" s="315"/>
      <c r="FZ19" s="315"/>
      <c r="GA19" s="315"/>
      <c r="GB19" s="315"/>
      <c r="GC19" s="315"/>
      <c r="GD19" s="315"/>
      <c r="GE19" s="315"/>
      <c r="GF19" s="315"/>
      <c r="GG19" s="315"/>
      <c r="GH19" s="315"/>
      <c r="GI19" s="315"/>
      <c r="GJ19" s="315"/>
      <c r="GK19" s="315"/>
      <c r="GL19" s="315"/>
      <c r="GM19" s="315"/>
      <c r="GN19" s="315"/>
      <c r="GO19" s="315"/>
      <c r="GP19" s="315"/>
      <c r="GQ19" s="315"/>
      <c r="GR19" s="315"/>
      <c r="GS19" s="315"/>
      <c r="GT19" s="315"/>
      <c r="GU19" s="315"/>
      <c r="GV19" s="315"/>
      <c r="GW19" s="315"/>
      <c r="GX19" s="315"/>
      <c r="GY19" s="315"/>
      <c r="GZ19" s="315"/>
      <c r="HA19" s="315"/>
      <c r="HB19" s="315"/>
      <c r="HC19" s="315"/>
      <c r="HD19" s="315"/>
      <c r="HE19" s="315"/>
      <c r="HF19" s="315"/>
      <c r="HG19" s="315"/>
      <c r="HH19" s="315"/>
      <c r="HI19" s="315"/>
      <c r="HJ19" s="315"/>
      <c r="HK19" s="315"/>
      <c r="HL19" s="315"/>
      <c r="HM19" s="315"/>
      <c r="HN19" s="315"/>
      <c r="HO19" s="315"/>
      <c r="HP19" s="315"/>
      <c r="HQ19" s="315"/>
      <c r="HR19" s="315"/>
      <c r="HS19" s="315"/>
      <c r="HT19" s="315"/>
      <c r="HU19" s="315"/>
      <c r="HV19" s="315"/>
      <c r="HW19" s="315"/>
      <c r="HX19" s="315"/>
      <c r="HY19" s="315"/>
      <c r="HZ19" s="315"/>
      <c r="IA19" s="315"/>
      <c r="IB19" s="315"/>
      <c r="IC19" s="315"/>
      <c r="ID19" s="315"/>
      <c r="IE19" s="315"/>
      <c r="IF19" s="315"/>
      <c r="IG19" s="315"/>
      <c r="IH19" s="315"/>
      <c r="II19" s="315"/>
      <c r="IJ19" s="315"/>
      <c r="IK19" s="315"/>
      <c r="IL19" s="315"/>
      <c r="IM19" s="315"/>
      <c r="IN19" s="315"/>
      <c r="IO19" s="315"/>
      <c r="IP19" s="315"/>
      <c r="IQ19" s="315"/>
      <c r="IR19" s="315"/>
    </row>
    <row r="20" spans="1:252" ht="15">
      <c r="A20" s="292"/>
      <c r="B20" s="292"/>
      <c r="C20" s="292"/>
      <c r="D20" s="319"/>
      <c r="E20" s="319"/>
      <c r="F20" s="319"/>
      <c r="G20" s="319"/>
      <c r="H20" s="319"/>
      <c r="I20" s="292"/>
      <c r="J20" s="292"/>
      <c r="K20" s="315"/>
      <c r="L20" s="315"/>
      <c r="M20" s="315"/>
      <c r="N20" s="315"/>
      <c r="O20" s="315"/>
      <c r="P20" s="315"/>
      <c r="Q20" s="315"/>
      <c r="R20" s="315"/>
      <c r="S20" s="315"/>
      <c r="T20" s="315"/>
      <c r="U20" s="315"/>
      <c r="V20" s="315"/>
      <c r="W20" s="315"/>
      <c r="X20" s="315"/>
      <c r="Y20" s="315"/>
      <c r="Z20" s="315"/>
      <c r="AA20" s="315"/>
      <c r="AB20" s="315"/>
      <c r="AC20" s="315"/>
      <c r="AD20" s="315"/>
      <c r="AE20" s="315"/>
      <c r="AF20" s="315"/>
      <c r="AG20" s="315"/>
      <c r="AH20" s="315"/>
      <c r="AI20" s="315"/>
      <c r="AJ20" s="315"/>
      <c r="AK20" s="315"/>
      <c r="AL20" s="315"/>
      <c r="AM20" s="315"/>
      <c r="AN20" s="315"/>
      <c r="AO20" s="315"/>
      <c r="AP20" s="315"/>
      <c r="AQ20" s="315"/>
      <c r="AR20" s="315"/>
      <c r="AS20" s="315"/>
      <c r="AT20" s="315"/>
      <c r="AU20" s="315"/>
      <c r="AV20" s="315"/>
      <c r="AW20" s="315"/>
      <c r="AX20" s="315"/>
      <c r="AY20" s="315"/>
      <c r="AZ20" s="315"/>
      <c r="BA20" s="315"/>
      <c r="BB20" s="315"/>
      <c r="BC20" s="315"/>
      <c r="BD20" s="315"/>
      <c r="BE20" s="315"/>
      <c r="BF20" s="315"/>
      <c r="BG20" s="315"/>
      <c r="BH20" s="315"/>
      <c r="BI20" s="315"/>
      <c r="BJ20" s="315"/>
      <c r="BK20" s="315"/>
      <c r="BL20" s="315"/>
      <c r="BM20" s="315"/>
      <c r="BN20" s="315"/>
      <c r="BO20" s="315"/>
      <c r="BP20" s="315"/>
      <c r="BQ20" s="315"/>
      <c r="BR20" s="315"/>
      <c r="BS20" s="315"/>
      <c r="BT20" s="315"/>
      <c r="BU20" s="315"/>
      <c r="BV20" s="315"/>
      <c r="BW20" s="315"/>
      <c r="BX20" s="315"/>
      <c r="BY20" s="315"/>
      <c r="BZ20" s="315"/>
      <c r="CA20" s="315"/>
      <c r="CB20" s="315"/>
      <c r="CC20" s="315"/>
      <c r="CD20" s="315"/>
      <c r="CE20" s="315"/>
      <c r="CF20" s="315"/>
      <c r="CG20" s="315"/>
      <c r="CH20" s="315"/>
      <c r="CI20" s="315"/>
      <c r="CJ20" s="315"/>
      <c r="CK20" s="315"/>
      <c r="CL20" s="315"/>
      <c r="CM20" s="315"/>
      <c r="CN20" s="315"/>
      <c r="CO20" s="315"/>
      <c r="CP20" s="315"/>
      <c r="CQ20" s="315"/>
      <c r="CR20" s="315"/>
      <c r="CS20" s="315"/>
      <c r="CT20" s="315"/>
      <c r="CU20" s="315"/>
      <c r="CV20" s="315"/>
      <c r="CW20" s="315"/>
      <c r="CX20" s="315"/>
      <c r="CY20" s="315"/>
      <c r="CZ20" s="315"/>
      <c r="DA20" s="315"/>
      <c r="DB20" s="315"/>
      <c r="DC20" s="315"/>
      <c r="DD20" s="315"/>
      <c r="DE20" s="315"/>
      <c r="DF20" s="315"/>
      <c r="DG20" s="315"/>
      <c r="DH20" s="315"/>
      <c r="DI20" s="315"/>
      <c r="DJ20" s="315"/>
      <c r="DK20" s="315"/>
      <c r="DL20" s="315"/>
      <c r="DM20" s="315"/>
      <c r="DN20" s="315"/>
      <c r="DO20" s="315"/>
      <c r="DP20" s="315"/>
      <c r="DQ20" s="315"/>
      <c r="DR20" s="315"/>
      <c r="DS20" s="315"/>
      <c r="DT20" s="315"/>
      <c r="DU20" s="315"/>
      <c r="DV20" s="315"/>
      <c r="DW20" s="315"/>
      <c r="DX20" s="315"/>
      <c r="DY20" s="315"/>
      <c r="DZ20" s="315"/>
      <c r="EA20" s="315"/>
      <c r="EB20" s="315"/>
      <c r="EC20" s="315"/>
      <c r="ED20" s="315"/>
      <c r="EE20" s="315"/>
      <c r="EF20" s="315"/>
      <c r="EG20" s="315"/>
      <c r="EH20" s="315"/>
      <c r="EI20" s="315"/>
      <c r="EJ20" s="315"/>
      <c r="EK20" s="315"/>
      <c r="EL20" s="315"/>
      <c r="EM20" s="315"/>
      <c r="EN20" s="315"/>
      <c r="EO20" s="315"/>
      <c r="EP20" s="315"/>
      <c r="EQ20" s="315"/>
      <c r="ER20" s="315"/>
      <c r="ES20" s="315"/>
      <c r="ET20" s="315"/>
      <c r="EU20" s="315"/>
      <c r="EV20" s="315"/>
      <c r="EW20" s="315"/>
      <c r="EX20" s="315"/>
      <c r="EY20" s="315"/>
      <c r="EZ20" s="315"/>
      <c r="FA20" s="315"/>
      <c r="FB20" s="315"/>
      <c r="FC20" s="315"/>
      <c r="FD20" s="315"/>
      <c r="FE20" s="315"/>
      <c r="FF20" s="315"/>
      <c r="FG20" s="315"/>
      <c r="FH20" s="315"/>
      <c r="FI20" s="315"/>
      <c r="FJ20" s="315"/>
      <c r="FK20" s="315"/>
      <c r="FL20" s="315"/>
      <c r="FM20" s="315"/>
      <c r="FN20" s="315"/>
      <c r="FO20" s="315"/>
      <c r="FP20" s="315"/>
      <c r="FQ20" s="315"/>
      <c r="FR20" s="315"/>
      <c r="FS20" s="315"/>
      <c r="FT20" s="315"/>
      <c r="FU20" s="315"/>
      <c r="FV20" s="315"/>
      <c r="FW20" s="315"/>
      <c r="FX20" s="315"/>
      <c r="FY20" s="315"/>
      <c r="FZ20" s="315"/>
      <c r="GA20" s="315"/>
      <c r="GB20" s="315"/>
      <c r="GC20" s="315"/>
      <c r="GD20" s="315"/>
      <c r="GE20" s="315"/>
      <c r="GF20" s="315"/>
      <c r="GG20" s="315"/>
      <c r="GH20" s="315"/>
      <c r="GI20" s="315"/>
      <c r="GJ20" s="315"/>
      <c r="GK20" s="315"/>
      <c r="GL20" s="315"/>
      <c r="GM20" s="315"/>
      <c r="GN20" s="315"/>
      <c r="GO20" s="315"/>
      <c r="GP20" s="315"/>
      <c r="GQ20" s="315"/>
      <c r="GR20" s="315"/>
      <c r="GS20" s="315"/>
      <c r="GT20" s="315"/>
      <c r="GU20" s="315"/>
      <c r="GV20" s="315"/>
      <c r="GW20" s="315"/>
      <c r="GX20" s="315"/>
      <c r="GY20" s="315"/>
      <c r="GZ20" s="315"/>
      <c r="HA20" s="315"/>
      <c r="HB20" s="315"/>
      <c r="HC20" s="315"/>
      <c r="HD20" s="315"/>
      <c r="HE20" s="315"/>
      <c r="HF20" s="315"/>
      <c r="HG20" s="315"/>
      <c r="HH20" s="315"/>
      <c r="HI20" s="315"/>
      <c r="HJ20" s="315"/>
      <c r="HK20" s="315"/>
      <c r="HL20" s="315"/>
      <c r="HM20" s="315"/>
      <c r="HN20" s="315"/>
      <c r="HO20" s="315"/>
      <c r="HP20" s="315"/>
      <c r="HQ20" s="315"/>
      <c r="HR20" s="315"/>
      <c r="HS20" s="315"/>
      <c r="HT20" s="315"/>
      <c r="HU20" s="315"/>
      <c r="HV20" s="315"/>
      <c r="HW20" s="315"/>
      <c r="HX20" s="315"/>
      <c r="HY20" s="315"/>
      <c r="HZ20" s="315"/>
      <c r="IA20" s="315"/>
      <c r="IB20" s="315"/>
      <c r="IC20" s="315"/>
      <c r="ID20" s="315"/>
      <c r="IE20" s="315"/>
      <c r="IF20" s="315"/>
      <c r="IG20" s="315"/>
      <c r="IH20" s="315"/>
      <c r="II20" s="315"/>
      <c r="IJ20" s="315"/>
      <c r="IK20" s="315"/>
      <c r="IL20" s="315"/>
      <c r="IM20" s="315"/>
      <c r="IN20" s="315"/>
      <c r="IO20" s="315"/>
      <c r="IP20" s="315"/>
      <c r="IQ20" s="315"/>
      <c r="IR20" s="315"/>
    </row>
    <row r="21" spans="1:252" s="326" customFormat="1" ht="14.5">
      <c r="A21" s="325"/>
      <c r="B21" s="317" t="s">
        <v>472</v>
      </c>
      <c r="C21" s="292"/>
      <c r="D21" s="318">
        <f>'Balance Sheet Ann'!J2</f>
        <v>45412</v>
      </c>
      <c r="E21" s="318">
        <f>'Balance Sheet Ann'!K2</f>
        <v>45777</v>
      </c>
      <c r="F21" s="318">
        <f>'Balance Sheet Ann'!L2</f>
        <v>46142</v>
      </c>
      <c r="G21" s="318">
        <f>'Balance Sheet Ann'!M2</f>
        <v>46507</v>
      </c>
      <c r="H21" s="318">
        <f>'Balance Sheet Ann'!N2</f>
        <v>46873</v>
      </c>
      <c r="I21" s="325"/>
      <c r="J21" s="325"/>
      <c r="K21" s="325"/>
      <c r="L21" s="325"/>
      <c r="M21" s="325"/>
      <c r="N21" s="325"/>
      <c r="O21" s="325"/>
      <c r="P21" s="325"/>
      <c r="Q21" s="325"/>
      <c r="R21" s="325"/>
      <c r="S21" s="325"/>
      <c r="T21" s="325"/>
      <c r="U21" s="325"/>
      <c r="V21" s="325"/>
      <c r="W21" s="325"/>
      <c r="X21" s="325"/>
      <c r="Y21" s="325"/>
      <c r="Z21" s="325"/>
      <c r="AA21" s="325"/>
      <c r="AB21" s="325"/>
      <c r="AC21" s="325"/>
      <c r="AD21" s="325"/>
      <c r="AE21" s="325"/>
      <c r="AF21" s="325"/>
      <c r="AG21" s="325"/>
      <c r="AH21" s="325"/>
      <c r="AI21" s="325"/>
      <c r="AJ21" s="325"/>
      <c r="AK21" s="325"/>
      <c r="AL21" s="325"/>
      <c r="AM21" s="325"/>
      <c r="AN21" s="325"/>
      <c r="AO21" s="325"/>
      <c r="AP21" s="325"/>
      <c r="AQ21" s="325"/>
      <c r="AR21" s="325"/>
      <c r="AS21" s="325"/>
      <c r="AT21" s="325"/>
      <c r="AU21" s="325"/>
      <c r="AV21" s="325"/>
      <c r="AW21" s="325"/>
      <c r="AX21" s="325"/>
      <c r="AY21" s="325"/>
      <c r="AZ21" s="325"/>
      <c r="BA21" s="325"/>
      <c r="BB21" s="325"/>
      <c r="BC21" s="325"/>
      <c r="BD21" s="325"/>
      <c r="BE21" s="325"/>
      <c r="BF21" s="325"/>
      <c r="BG21" s="325"/>
      <c r="BH21" s="325"/>
      <c r="BI21" s="325"/>
      <c r="BJ21" s="325"/>
      <c r="BK21" s="325"/>
      <c r="BL21" s="325"/>
      <c r="BM21" s="325"/>
      <c r="BN21" s="325"/>
      <c r="BO21" s="325"/>
      <c r="BP21" s="325"/>
      <c r="BQ21" s="325"/>
      <c r="BR21" s="325"/>
      <c r="BS21" s="325"/>
      <c r="BT21" s="325"/>
      <c r="BU21" s="325"/>
      <c r="BV21" s="325"/>
      <c r="BW21" s="325"/>
      <c r="BX21" s="325"/>
      <c r="BY21" s="325"/>
      <c r="BZ21" s="325"/>
      <c r="CA21" s="325"/>
      <c r="CB21" s="325"/>
      <c r="CC21" s="325"/>
      <c r="CD21" s="325"/>
      <c r="CE21" s="325"/>
      <c r="CF21" s="325"/>
      <c r="CG21" s="325"/>
      <c r="CH21" s="325"/>
      <c r="CI21" s="325"/>
      <c r="CJ21" s="325"/>
      <c r="CK21" s="325"/>
      <c r="CL21" s="325"/>
      <c r="CM21" s="325"/>
      <c r="CN21" s="325"/>
      <c r="CO21" s="325"/>
      <c r="CP21" s="325"/>
      <c r="CQ21" s="325"/>
      <c r="CR21" s="325"/>
      <c r="CS21" s="325"/>
      <c r="CT21" s="325"/>
      <c r="CU21" s="325"/>
      <c r="CV21" s="325"/>
      <c r="CW21" s="325"/>
      <c r="CX21" s="325"/>
      <c r="CY21" s="325"/>
      <c r="CZ21" s="325"/>
      <c r="DA21" s="325"/>
      <c r="DB21" s="325"/>
      <c r="DC21" s="325"/>
      <c r="DD21" s="325"/>
      <c r="DE21" s="325"/>
      <c r="DF21" s="325"/>
      <c r="DG21" s="325"/>
      <c r="DH21" s="325"/>
      <c r="DI21" s="325"/>
      <c r="DJ21" s="325"/>
      <c r="DK21" s="325"/>
      <c r="DL21" s="325"/>
      <c r="DM21" s="325"/>
      <c r="DN21" s="325"/>
      <c r="DO21" s="325"/>
      <c r="DP21" s="325"/>
      <c r="DQ21" s="325"/>
      <c r="DR21" s="325"/>
      <c r="DS21" s="325"/>
      <c r="DT21" s="325"/>
      <c r="DU21" s="325"/>
      <c r="DV21" s="325"/>
      <c r="DW21" s="325"/>
      <c r="DX21" s="325"/>
      <c r="DY21" s="325"/>
      <c r="DZ21" s="325"/>
      <c r="EA21" s="325"/>
      <c r="EB21" s="325"/>
      <c r="EC21" s="325"/>
      <c r="ED21" s="325"/>
      <c r="EE21" s="325"/>
      <c r="EF21" s="325"/>
      <c r="EG21" s="325"/>
      <c r="EH21" s="325"/>
      <c r="EI21" s="325"/>
      <c r="EJ21" s="325"/>
      <c r="EK21" s="325"/>
      <c r="EL21" s="325"/>
      <c r="EM21" s="325"/>
      <c r="EN21" s="325"/>
      <c r="EO21" s="325"/>
      <c r="EP21" s="325"/>
      <c r="EQ21" s="325"/>
      <c r="ER21" s="325"/>
      <c r="ES21" s="325"/>
      <c r="ET21" s="325"/>
      <c r="EU21" s="325"/>
      <c r="EV21" s="325"/>
      <c r="EW21" s="325"/>
      <c r="EX21" s="325"/>
      <c r="EY21" s="325"/>
      <c r="EZ21" s="325"/>
      <c r="FA21" s="325"/>
      <c r="FB21" s="325"/>
      <c r="FC21" s="325"/>
      <c r="FD21" s="325"/>
      <c r="FE21" s="325"/>
      <c r="FF21" s="325"/>
      <c r="FG21" s="325"/>
      <c r="FH21" s="325"/>
      <c r="FI21" s="325"/>
      <c r="FJ21" s="325"/>
      <c r="FK21" s="325"/>
      <c r="FL21" s="325"/>
      <c r="FM21" s="325"/>
      <c r="FN21" s="325"/>
      <c r="FO21" s="325"/>
      <c r="FP21" s="325"/>
      <c r="FQ21" s="325"/>
      <c r="FR21" s="325"/>
      <c r="FS21" s="325"/>
      <c r="FT21" s="325"/>
      <c r="FU21" s="325"/>
      <c r="FV21" s="325"/>
      <c r="FW21" s="325"/>
      <c r="FX21" s="325"/>
      <c r="FY21" s="325"/>
      <c r="FZ21" s="325"/>
      <c r="GA21" s="325"/>
      <c r="GB21" s="325"/>
      <c r="GC21" s="325"/>
      <c r="GD21" s="325"/>
      <c r="GE21" s="325"/>
      <c r="GF21" s="325"/>
      <c r="GG21" s="325"/>
      <c r="GH21" s="325"/>
      <c r="GI21" s="325"/>
      <c r="GJ21" s="325"/>
      <c r="GK21" s="325"/>
      <c r="GL21" s="325"/>
      <c r="GM21" s="325"/>
      <c r="GN21" s="325"/>
      <c r="GO21" s="325"/>
      <c r="GP21" s="325"/>
      <c r="GQ21" s="325"/>
      <c r="GR21" s="325"/>
      <c r="GS21" s="325"/>
      <c r="GT21" s="325"/>
      <c r="GU21" s="325"/>
      <c r="GV21" s="325"/>
      <c r="GW21" s="325"/>
      <c r="GX21" s="325"/>
      <c r="GY21" s="325"/>
      <c r="GZ21" s="325"/>
      <c r="HA21" s="325"/>
      <c r="HB21" s="325"/>
      <c r="HC21" s="325"/>
      <c r="HD21" s="325"/>
      <c r="HE21" s="325"/>
      <c r="HF21" s="325"/>
      <c r="HG21" s="325"/>
      <c r="HH21" s="325"/>
      <c r="HI21" s="325"/>
      <c r="HJ21" s="325"/>
      <c r="HK21" s="325"/>
      <c r="HL21" s="325"/>
      <c r="HM21" s="325"/>
      <c r="HN21" s="325"/>
      <c r="HO21" s="325"/>
      <c r="HP21" s="325"/>
      <c r="HQ21" s="325"/>
      <c r="HR21" s="325"/>
      <c r="HS21" s="325"/>
      <c r="HT21" s="325"/>
      <c r="HU21" s="325"/>
      <c r="HV21" s="325"/>
      <c r="HW21" s="325"/>
      <c r="HX21" s="325"/>
      <c r="HY21" s="325"/>
      <c r="HZ21" s="325"/>
      <c r="IA21" s="325"/>
      <c r="IB21" s="325"/>
      <c r="IC21" s="325"/>
      <c r="ID21" s="325"/>
      <c r="IE21" s="325"/>
      <c r="IF21" s="325"/>
      <c r="IG21" s="325"/>
      <c r="IH21" s="325"/>
      <c r="II21" s="325"/>
      <c r="IJ21" s="325"/>
      <c r="IK21" s="325"/>
      <c r="IL21" s="325"/>
      <c r="IM21" s="325"/>
      <c r="IN21" s="325"/>
      <c r="IO21" s="325"/>
      <c r="IP21" s="325"/>
      <c r="IQ21" s="325"/>
      <c r="IR21" s="325"/>
    </row>
    <row r="22" spans="1:252" ht="15">
      <c r="A22" s="292"/>
      <c r="B22" s="292"/>
      <c r="C22" s="292"/>
      <c r="D22" s="319"/>
      <c r="E22" s="319"/>
      <c r="F22" s="319"/>
      <c r="G22" s="319"/>
      <c r="H22" s="319"/>
      <c r="I22" s="292"/>
      <c r="J22" s="292"/>
      <c r="K22" s="315"/>
      <c r="L22" s="315"/>
      <c r="M22" s="315"/>
      <c r="N22" s="315"/>
      <c r="O22" s="315"/>
      <c r="P22" s="315"/>
      <c r="Q22" s="315"/>
      <c r="R22" s="315"/>
      <c r="S22" s="315"/>
      <c r="T22" s="315"/>
      <c r="U22" s="315"/>
      <c r="V22" s="315"/>
      <c r="W22" s="315"/>
      <c r="X22" s="315"/>
      <c r="Y22" s="315"/>
      <c r="Z22" s="315"/>
      <c r="AA22" s="315"/>
      <c r="AB22" s="315"/>
      <c r="AC22" s="315"/>
      <c r="AD22" s="315"/>
      <c r="AE22" s="315"/>
      <c r="AF22" s="315"/>
      <c r="AG22" s="315"/>
      <c r="AH22" s="315"/>
      <c r="AI22" s="315"/>
      <c r="AJ22" s="315"/>
      <c r="AK22" s="315"/>
      <c r="AL22" s="315"/>
      <c r="AM22" s="315"/>
      <c r="AN22" s="315"/>
      <c r="AO22" s="315"/>
      <c r="AP22" s="315"/>
      <c r="AQ22" s="315"/>
      <c r="AR22" s="315"/>
      <c r="AS22" s="315"/>
      <c r="AT22" s="315"/>
      <c r="AU22" s="315"/>
      <c r="AV22" s="315"/>
      <c r="AW22" s="315"/>
      <c r="AX22" s="315"/>
      <c r="AY22" s="315"/>
      <c r="AZ22" s="315"/>
      <c r="BA22" s="315"/>
      <c r="BB22" s="315"/>
      <c r="BC22" s="315"/>
      <c r="BD22" s="315"/>
      <c r="BE22" s="315"/>
      <c r="BF22" s="315"/>
      <c r="BG22" s="315"/>
      <c r="BH22" s="315"/>
      <c r="BI22" s="315"/>
      <c r="BJ22" s="315"/>
      <c r="BK22" s="315"/>
      <c r="BL22" s="315"/>
      <c r="BM22" s="315"/>
      <c r="BN22" s="315"/>
      <c r="BO22" s="315"/>
      <c r="BP22" s="315"/>
      <c r="BQ22" s="315"/>
      <c r="BR22" s="315"/>
      <c r="BS22" s="315"/>
      <c r="BT22" s="315"/>
      <c r="BU22" s="315"/>
      <c r="BV22" s="315"/>
      <c r="BW22" s="315"/>
      <c r="BX22" s="315"/>
      <c r="BY22" s="315"/>
      <c r="BZ22" s="315"/>
      <c r="CA22" s="315"/>
      <c r="CB22" s="315"/>
      <c r="CC22" s="315"/>
      <c r="CD22" s="315"/>
      <c r="CE22" s="315"/>
      <c r="CF22" s="315"/>
      <c r="CG22" s="315"/>
      <c r="CH22" s="315"/>
      <c r="CI22" s="315"/>
      <c r="CJ22" s="315"/>
      <c r="CK22" s="315"/>
      <c r="CL22" s="315"/>
      <c r="CM22" s="315"/>
      <c r="CN22" s="315"/>
      <c r="CO22" s="315"/>
      <c r="CP22" s="315"/>
      <c r="CQ22" s="315"/>
      <c r="CR22" s="315"/>
      <c r="CS22" s="315"/>
      <c r="CT22" s="315"/>
      <c r="CU22" s="315"/>
      <c r="CV22" s="315"/>
      <c r="CW22" s="315"/>
      <c r="CX22" s="315"/>
      <c r="CY22" s="315"/>
      <c r="CZ22" s="315"/>
      <c r="DA22" s="315"/>
      <c r="DB22" s="315"/>
      <c r="DC22" s="315"/>
      <c r="DD22" s="315"/>
      <c r="DE22" s="315"/>
      <c r="DF22" s="315"/>
      <c r="DG22" s="315"/>
      <c r="DH22" s="315"/>
      <c r="DI22" s="315"/>
      <c r="DJ22" s="315"/>
      <c r="DK22" s="315"/>
      <c r="DL22" s="315"/>
      <c r="DM22" s="315"/>
      <c r="DN22" s="315"/>
      <c r="DO22" s="315"/>
      <c r="DP22" s="315"/>
      <c r="DQ22" s="315"/>
      <c r="DR22" s="315"/>
      <c r="DS22" s="315"/>
      <c r="DT22" s="315"/>
      <c r="DU22" s="315"/>
      <c r="DV22" s="315"/>
      <c r="DW22" s="315"/>
      <c r="DX22" s="315"/>
      <c r="DY22" s="315"/>
      <c r="DZ22" s="315"/>
      <c r="EA22" s="315"/>
      <c r="EB22" s="315"/>
      <c r="EC22" s="315"/>
      <c r="ED22" s="315"/>
      <c r="EE22" s="315"/>
      <c r="EF22" s="315"/>
      <c r="EG22" s="315"/>
      <c r="EH22" s="315"/>
      <c r="EI22" s="315"/>
      <c r="EJ22" s="315"/>
      <c r="EK22" s="315"/>
      <c r="EL22" s="315"/>
      <c r="EM22" s="315"/>
      <c r="EN22" s="315"/>
      <c r="EO22" s="315"/>
      <c r="EP22" s="315"/>
      <c r="EQ22" s="315"/>
      <c r="ER22" s="315"/>
      <c r="ES22" s="315"/>
      <c r="ET22" s="315"/>
      <c r="EU22" s="315"/>
      <c r="EV22" s="315"/>
      <c r="EW22" s="315"/>
      <c r="EX22" s="315"/>
      <c r="EY22" s="315"/>
      <c r="EZ22" s="315"/>
      <c r="FA22" s="315"/>
      <c r="FB22" s="315"/>
      <c r="FC22" s="315"/>
      <c r="FD22" s="315"/>
      <c r="FE22" s="315"/>
      <c r="FF22" s="315"/>
      <c r="FG22" s="315"/>
      <c r="FH22" s="315"/>
      <c r="FI22" s="315"/>
      <c r="FJ22" s="315"/>
      <c r="FK22" s="315"/>
      <c r="FL22" s="315"/>
      <c r="FM22" s="315"/>
      <c r="FN22" s="315"/>
      <c r="FO22" s="315"/>
      <c r="FP22" s="315"/>
      <c r="FQ22" s="315"/>
      <c r="FR22" s="315"/>
      <c r="FS22" s="315"/>
      <c r="FT22" s="315"/>
      <c r="FU22" s="315"/>
      <c r="FV22" s="315"/>
      <c r="FW22" s="315"/>
      <c r="FX22" s="315"/>
      <c r="FY22" s="315"/>
      <c r="FZ22" s="315"/>
      <c r="GA22" s="315"/>
      <c r="GB22" s="315"/>
      <c r="GC22" s="315"/>
      <c r="GD22" s="315"/>
      <c r="GE22" s="315"/>
      <c r="GF22" s="315"/>
      <c r="GG22" s="315"/>
      <c r="GH22" s="315"/>
      <c r="GI22" s="315"/>
      <c r="GJ22" s="315"/>
      <c r="GK22" s="315"/>
      <c r="GL22" s="315"/>
      <c r="GM22" s="315"/>
      <c r="GN22" s="315"/>
      <c r="GO22" s="315"/>
      <c r="GP22" s="315"/>
      <c r="GQ22" s="315"/>
      <c r="GR22" s="315"/>
      <c r="GS22" s="315"/>
      <c r="GT22" s="315"/>
      <c r="GU22" s="315"/>
      <c r="GV22" s="315"/>
      <c r="GW22" s="315"/>
      <c r="GX22" s="315"/>
      <c r="GY22" s="315"/>
      <c r="GZ22" s="315"/>
      <c r="HA22" s="315"/>
      <c r="HB22" s="315"/>
      <c r="HC22" s="315"/>
      <c r="HD22" s="315"/>
      <c r="HE22" s="315"/>
      <c r="HF22" s="315"/>
      <c r="HG22" s="315"/>
      <c r="HH22" s="315"/>
      <c r="HI22" s="315"/>
      <c r="HJ22" s="315"/>
      <c r="HK22" s="315"/>
      <c r="HL22" s="315"/>
      <c r="HM22" s="315"/>
      <c r="HN22" s="315"/>
      <c r="HO22" s="315"/>
      <c r="HP22" s="315"/>
      <c r="HQ22" s="315"/>
      <c r="HR22" s="315"/>
      <c r="HS22" s="315"/>
      <c r="HT22" s="315"/>
      <c r="HU22" s="315"/>
      <c r="HV22" s="315"/>
      <c r="HW22" s="315"/>
      <c r="HX22" s="315"/>
      <c r="HY22" s="315"/>
      <c r="HZ22" s="315"/>
      <c r="IA22" s="315"/>
      <c r="IB22" s="315"/>
      <c r="IC22" s="315"/>
      <c r="ID22" s="315"/>
      <c r="IE22" s="315"/>
      <c r="IF22" s="315"/>
      <c r="IG22" s="315"/>
      <c r="IH22" s="315"/>
      <c r="II22" s="315"/>
      <c r="IJ22" s="315"/>
      <c r="IK22" s="315"/>
      <c r="IL22" s="315"/>
      <c r="IM22" s="315"/>
      <c r="IN22" s="315"/>
      <c r="IO22" s="315"/>
      <c r="IP22" s="315"/>
      <c r="IQ22" s="315"/>
      <c r="IR22" s="315"/>
    </row>
    <row r="23" spans="1:252" ht="15">
      <c r="A23" s="292"/>
      <c r="B23" s="316" t="str">
        <f>'Balance Sheet Ann'!E8</f>
        <v>Inventory</v>
      </c>
      <c r="C23" s="292"/>
      <c r="D23" s="321">
        <f ca="1">'Balance Sheet Ann'!J8</f>
        <v>1750000</v>
      </c>
      <c r="E23" s="321">
        <f ca="1">'Balance Sheet Ann'!K8</f>
        <v>4375000</v>
      </c>
      <c r="F23" s="321">
        <f ca="1">'Balance Sheet Ann'!L8</f>
        <v>10570000</v>
      </c>
      <c r="G23" s="321">
        <f ca="1">'Balance Sheet Ann'!M8</f>
        <v>22676998.094606489</v>
      </c>
      <c r="H23" s="321">
        <f ca="1">'Balance Sheet Ann'!N8</f>
        <v>45868994.283819467</v>
      </c>
      <c r="I23" s="292"/>
      <c r="J23" s="292"/>
      <c r="K23" s="315"/>
      <c r="L23" s="315"/>
      <c r="M23" s="315"/>
      <c r="N23" s="315"/>
      <c r="O23" s="315"/>
      <c r="P23" s="315"/>
      <c r="Q23" s="315"/>
      <c r="R23" s="315"/>
      <c r="S23" s="315"/>
      <c r="T23" s="315"/>
      <c r="U23" s="315"/>
      <c r="V23" s="315"/>
      <c r="W23" s="315"/>
      <c r="X23" s="315"/>
      <c r="Y23" s="315"/>
      <c r="Z23" s="315"/>
      <c r="AA23" s="315"/>
      <c r="AB23" s="315"/>
      <c r="AC23" s="315"/>
      <c r="AD23" s="315"/>
      <c r="AE23" s="315"/>
      <c r="AF23" s="315"/>
      <c r="AG23" s="315"/>
      <c r="AH23" s="315"/>
      <c r="AI23" s="315"/>
      <c r="AJ23" s="315"/>
      <c r="AK23" s="315"/>
      <c r="AL23" s="315"/>
      <c r="AM23" s="315"/>
      <c r="AN23" s="315"/>
      <c r="AO23" s="315"/>
      <c r="AP23" s="315"/>
      <c r="AQ23" s="315"/>
      <c r="AR23" s="315"/>
      <c r="AS23" s="315"/>
      <c r="AT23" s="315"/>
      <c r="AU23" s="315"/>
      <c r="AV23" s="315"/>
      <c r="AW23" s="315"/>
      <c r="AX23" s="315"/>
      <c r="AY23" s="315"/>
      <c r="AZ23" s="315"/>
      <c r="BA23" s="315"/>
      <c r="BB23" s="315"/>
      <c r="BC23" s="315"/>
      <c r="BD23" s="315"/>
      <c r="BE23" s="315"/>
      <c r="BF23" s="315"/>
      <c r="BG23" s="315"/>
      <c r="BH23" s="315"/>
      <c r="BI23" s="315"/>
      <c r="BJ23" s="315"/>
      <c r="BK23" s="315"/>
      <c r="BL23" s="315"/>
      <c r="BM23" s="315"/>
      <c r="BN23" s="315"/>
      <c r="BO23" s="315"/>
      <c r="BP23" s="315"/>
      <c r="BQ23" s="315"/>
      <c r="BR23" s="315"/>
      <c r="BS23" s="315"/>
      <c r="BT23" s="315"/>
      <c r="BU23" s="315"/>
      <c r="BV23" s="315"/>
      <c r="BW23" s="315"/>
      <c r="BX23" s="315"/>
      <c r="BY23" s="315"/>
      <c r="BZ23" s="315"/>
      <c r="CA23" s="315"/>
      <c r="CB23" s="315"/>
      <c r="CC23" s="315"/>
      <c r="CD23" s="315"/>
      <c r="CE23" s="315"/>
      <c r="CF23" s="315"/>
      <c r="CG23" s="315"/>
      <c r="CH23" s="315"/>
      <c r="CI23" s="315"/>
      <c r="CJ23" s="315"/>
      <c r="CK23" s="315"/>
      <c r="CL23" s="315"/>
      <c r="CM23" s="315"/>
      <c r="CN23" s="315"/>
      <c r="CO23" s="315"/>
      <c r="CP23" s="315"/>
      <c r="CQ23" s="315"/>
      <c r="CR23" s="315"/>
      <c r="CS23" s="315"/>
      <c r="CT23" s="315"/>
      <c r="CU23" s="315"/>
      <c r="CV23" s="315"/>
      <c r="CW23" s="315"/>
      <c r="CX23" s="315"/>
      <c r="CY23" s="315"/>
      <c r="CZ23" s="315"/>
      <c r="DA23" s="315"/>
      <c r="DB23" s="315"/>
      <c r="DC23" s="315"/>
      <c r="DD23" s="315"/>
      <c r="DE23" s="315"/>
      <c r="DF23" s="315"/>
      <c r="DG23" s="315"/>
      <c r="DH23" s="315"/>
      <c r="DI23" s="315"/>
      <c r="DJ23" s="315"/>
      <c r="DK23" s="315"/>
      <c r="DL23" s="315"/>
      <c r="DM23" s="315"/>
      <c r="DN23" s="315"/>
      <c r="DO23" s="315"/>
      <c r="DP23" s="315"/>
      <c r="DQ23" s="315"/>
      <c r="DR23" s="315"/>
      <c r="DS23" s="315"/>
      <c r="DT23" s="315"/>
      <c r="DU23" s="315"/>
      <c r="DV23" s="315"/>
      <c r="DW23" s="315"/>
      <c r="DX23" s="315"/>
      <c r="DY23" s="315"/>
      <c r="DZ23" s="315"/>
      <c r="EA23" s="315"/>
      <c r="EB23" s="315"/>
      <c r="EC23" s="315"/>
      <c r="ED23" s="315"/>
      <c r="EE23" s="315"/>
      <c r="EF23" s="315"/>
      <c r="EG23" s="315"/>
      <c r="EH23" s="315"/>
      <c r="EI23" s="315"/>
      <c r="EJ23" s="315"/>
      <c r="EK23" s="315"/>
      <c r="EL23" s="315"/>
      <c r="EM23" s="315"/>
      <c r="EN23" s="315"/>
      <c r="EO23" s="315"/>
      <c r="EP23" s="315"/>
      <c r="EQ23" s="315"/>
      <c r="ER23" s="315"/>
      <c r="ES23" s="315"/>
      <c r="ET23" s="315"/>
      <c r="EU23" s="315"/>
      <c r="EV23" s="315"/>
      <c r="EW23" s="315"/>
      <c r="EX23" s="315"/>
      <c r="EY23" s="315"/>
      <c r="EZ23" s="315"/>
      <c r="FA23" s="315"/>
      <c r="FB23" s="315"/>
      <c r="FC23" s="315"/>
      <c r="FD23" s="315"/>
      <c r="FE23" s="315"/>
      <c r="FF23" s="315"/>
      <c r="FG23" s="315"/>
      <c r="FH23" s="315"/>
      <c r="FI23" s="315"/>
      <c r="FJ23" s="315"/>
      <c r="FK23" s="315"/>
      <c r="FL23" s="315"/>
      <c r="FM23" s="315"/>
      <c r="FN23" s="315"/>
      <c r="FO23" s="315"/>
      <c r="FP23" s="315"/>
      <c r="FQ23" s="315"/>
      <c r="FR23" s="315"/>
      <c r="FS23" s="315"/>
      <c r="FT23" s="315"/>
      <c r="FU23" s="315"/>
      <c r="FV23" s="315"/>
      <c r="FW23" s="315"/>
      <c r="FX23" s="315"/>
      <c r="FY23" s="315"/>
      <c r="FZ23" s="315"/>
      <c r="GA23" s="315"/>
      <c r="GB23" s="315"/>
      <c r="GC23" s="315"/>
      <c r="GD23" s="315"/>
      <c r="GE23" s="315"/>
      <c r="GF23" s="315"/>
      <c r="GG23" s="315"/>
      <c r="GH23" s="315"/>
      <c r="GI23" s="315"/>
      <c r="GJ23" s="315"/>
      <c r="GK23" s="315"/>
      <c r="GL23" s="315"/>
      <c r="GM23" s="315"/>
      <c r="GN23" s="315"/>
      <c r="GO23" s="315"/>
      <c r="GP23" s="315"/>
      <c r="GQ23" s="315"/>
      <c r="GR23" s="315"/>
      <c r="GS23" s="315"/>
      <c r="GT23" s="315"/>
      <c r="GU23" s="315"/>
      <c r="GV23" s="315"/>
      <c r="GW23" s="315"/>
      <c r="GX23" s="315"/>
      <c r="GY23" s="315"/>
      <c r="GZ23" s="315"/>
      <c r="HA23" s="315"/>
      <c r="HB23" s="315"/>
      <c r="HC23" s="315"/>
      <c r="HD23" s="315"/>
      <c r="HE23" s="315"/>
      <c r="HF23" s="315"/>
      <c r="HG23" s="315"/>
      <c r="HH23" s="315"/>
      <c r="HI23" s="315"/>
      <c r="HJ23" s="315"/>
      <c r="HK23" s="315"/>
      <c r="HL23" s="315"/>
      <c r="HM23" s="315"/>
      <c r="HN23" s="315"/>
      <c r="HO23" s="315"/>
      <c r="HP23" s="315"/>
      <c r="HQ23" s="315"/>
      <c r="HR23" s="315"/>
      <c r="HS23" s="315"/>
      <c r="HT23" s="315"/>
      <c r="HU23" s="315"/>
      <c r="HV23" s="315"/>
      <c r="HW23" s="315"/>
      <c r="HX23" s="315"/>
      <c r="HY23" s="315"/>
      <c r="HZ23" s="315"/>
      <c r="IA23" s="315"/>
      <c r="IB23" s="315"/>
      <c r="IC23" s="315"/>
      <c r="ID23" s="315"/>
      <c r="IE23" s="315"/>
      <c r="IF23" s="315"/>
      <c r="IG23" s="315"/>
      <c r="IH23" s="315"/>
      <c r="II23" s="315"/>
      <c r="IJ23" s="315"/>
      <c r="IK23" s="315"/>
      <c r="IL23" s="315"/>
      <c r="IM23" s="315"/>
      <c r="IN23" s="315"/>
      <c r="IO23" s="315"/>
      <c r="IP23" s="315"/>
      <c r="IQ23" s="315"/>
      <c r="IR23" s="315"/>
    </row>
    <row r="24" spans="1:252" ht="15">
      <c r="A24" s="292"/>
      <c r="B24" s="316" t="str">
        <f>'Balance Sheet Ann'!E9</f>
        <v xml:space="preserve">Depreciation </v>
      </c>
      <c r="C24" s="292"/>
      <c r="D24" s="321">
        <f ca="1">'Balance Sheet Ann'!J9</f>
        <v>-167708.33333333331</v>
      </c>
      <c r="E24" s="321">
        <f ca="1">'Balance Sheet Ann'!K9</f>
        <v>-1071875</v>
      </c>
      <c r="F24" s="321">
        <f ca="1">'Balance Sheet Ann'!L9</f>
        <v>-1685833.3333333333</v>
      </c>
      <c r="G24" s="321">
        <f ca="1">'Balance Sheet Ann'!M9</f>
        <v>-3022835.8214476039</v>
      </c>
      <c r="H24" s="321">
        <f ca="1">'Balance Sheet Ann'!N9</f>
        <v>-5045506.5116460565</v>
      </c>
      <c r="I24" s="292"/>
      <c r="J24" s="292"/>
      <c r="K24" s="315"/>
      <c r="L24" s="315"/>
      <c r="M24" s="315"/>
      <c r="N24" s="315"/>
      <c r="O24" s="315"/>
      <c r="P24" s="315"/>
      <c r="Q24" s="315"/>
      <c r="R24" s="315"/>
      <c r="S24" s="315"/>
      <c r="T24" s="315"/>
      <c r="U24" s="315"/>
      <c r="V24" s="315"/>
      <c r="W24" s="315"/>
      <c r="X24" s="315"/>
      <c r="Y24" s="315"/>
      <c r="Z24" s="315"/>
      <c r="AA24" s="315"/>
      <c r="AB24" s="315"/>
      <c r="AC24" s="315"/>
      <c r="AD24" s="315"/>
      <c r="AE24" s="315"/>
      <c r="AF24" s="315"/>
      <c r="AG24" s="315"/>
      <c r="AH24" s="315"/>
      <c r="AI24" s="315"/>
      <c r="AJ24" s="315"/>
      <c r="AK24" s="315"/>
      <c r="AL24" s="315"/>
      <c r="AM24" s="315"/>
      <c r="AN24" s="315"/>
      <c r="AO24" s="315"/>
      <c r="AP24" s="315"/>
      <c r="AQ24" s="315"/>
      <c r="AR24" s="315"/>
      <c r="AS24" s="315"/>
      <c r="AT24" s="315"/>
      <c r="AU24" s="315"/>
      <c r="AV24" s="315"/>
      <c r="AW24" s="315"/>
      <c r="AX24" s="315"/>
      <c r="AY24" s="315"/>
      <c r="AZ24" s="315"/>
      <c r="BA24" s="315"/>
      <c r="BB24" s="315"/>
      <c r="BC24" s="315"/>
      <c r="BD24" s="315"/>
      <c r="BE24" s="315"/>
      <c r="BF24" s="315"/>
      <c r="BG24" s="315"/>
      <c r="BH24" s="315"/>
      <c r="BI24" s="315"/>
      <c r="BJ24" s="315"/>
      <c r="BK24" s="315"/>
      <c r="BL24" s="315"/>
      <c r="BM24" s="315"/>
      <c r="BN24" s="315"/>
      <c r="BO24" s="315"/>
      <c r="BP24" s="315"/>
      <c r="BQ24" s="315"/>
      <c r="BR24" s="315"/>
      <c r="BS24" s="315"/>
      <c r="BT24" s="315"/>
      <c r="BU24" s="315"/>
      <c r="BV24" s="315"/>
      <c r="BW24" s="315"/>
      <c r="BX24" s="315"/>
      <c r="BY24" s="315"/>
      <c r="BZ24" s="315"/>
      <c r="CA24" s="315"/>
      <c r="CB24" s="315"/>
      <c r="CC24" s="315"/>
      <c r="CD24" s="315"/>
      <c r="CE24" s="315"/>
      <c r="CF24" s="315"/>
      <c r="CG24" s="315"/>
      <c r="CH24" s="315"/>
      <c r="CI24" s="315"/>
      <c r="CJ24" s="315"/>
      <c r="CK24" s="315"/>
      <c r="CL24" s="315"/>
      <c r="CM24" s="315"/>
      <c r="CN24" s="315"/>
      <c r="CO24" s="315"/>
      <c r="CP24" s="315"/>
      <c r="CQ24" s="315"/>
      <c r="CR24" s="315"/>
      <c r="CS24" s="315"/>
      <c r="CT24" s="315"/>
      <c r="CU24" s="315"/>
      <c r="CV24" s="315"/>
      <c r="CW24" s="315"/>
      <c r="CX24" s="315"/>
      <c r="CY24" s="315"/>
      <c r="CZ24" s="315"/>
      <c r="DA24" s="315"/>
      <c r="DB24" s="315"/>
      <c r="DC24" s="315"/>
      <c r="DD24" s="315"/>
      <c r="DE24" s="315"/>
      <c r="DF24" s="315"/>
      <c r="DG24" s="315"/>
      <c r="DH24" s="315"/>
      <c r="DI24" s="315"/>
      <c r="DJ24" s="315"/>
      <c r="DK24" s="315"/>
      <c r="DL24" s="315"/>
      <c r="DM24" s="315"/>
      <c r="DN24" s="315"/>
      <c r="DO24" s="315"/>
      <c r="DP24" s="315"/>
      <c r="DQ24" s="315"/>
      <c r="DR24" s="315"/>
      <c r="DS24" s="315"/>
      <c r="DT24" s="315"/>
      <c r="DU24" s="315"/>
      <c r="DV24" s="315"/>
      <c r="DW24" s="315"/>
      <c r="DX24" s="315"/>
      <c r="DY24" s="315"/>
      <c r="DZ24" s="315"/>
      <c r="EA24" s="315"/>
      <c r="EB24" s="315"/>
      <c r="EC24" s="315"/>
      <c r="ED24" s="315"/>
      <c r="EE24" s="315"/>
      <c r="EF24" s="315"/>
      <c r="EG24" s="315"/>
      <c r="EH24" s="315"/>
      <c r="EI24" s="315"/>
      <c r="EJ24" s="315"/>
      <c r="EK24" s="315"/>
      <c r="EL24" s="315"/>
      <c r="EM24" s="315"/>
      <c r="EN24" s="315"/>
      <c r="EO24" s="315"/>
      <c r="EP24" s="315"/>
      <c r="EQ24" s="315"/>
      <c r="ER24" s="315"/>
      <c r="ES24" s="315"/>
      <c r="ET24" s="315"/>
      <c r="EU24" s="315"/>
      <c r="EV24" s="315"/>
      <c r="EW24" s="315"/>
      <c r="EX24" s="315"/>
      <c r="EY24" s="315"/>
      <c r="EZ24" s="315"/>
      <c r="FA24" s="315"/>
      <c r="FB24" s="315"/>
      <c r="FC24" s="315"/>
      <c r="FD24" s="315"/>
      <c r="FE24" s="315"/>
      <c r="FF24" s="315"/>
      <c r="FG24" s="315"/>
      <c r="FH24" s="315"/>
      <c r="FI24" s="315"/>
      <c r="FJ24" s="315"/>
      <c r="FK24" s="315"/>
      <c r="FL24" s="315"/>
      <c r="FM24" s="315"/>
      <c r="FN24" s="315"/>
      <c r="FO24" s="315"/>
      <c r="FP24" s="315"/>
      <c r="FQ24" s="315"/>
      <c r="FR24" s="315"/>
      <c r="FS24" s="315"/>
      <c r="FT24" s="315"/>
      <c r="FU24" s="315"/>
      <c r="FV24" s="315"/>
      <c r="FW24" s="315"/>
      <c r="FX24" s="315"/>
      <c r="FY24" s="315"/>
      <c r="FZ24" s="315"/>
      <c r="GA24" s="315"/>
      <c r="GB24" s="315"/>
      <c r="GC24" s="315"/>
      <c r="GD24" s="315"/>
      <c r="GE24" s="315"/>
      <c r="GF24" s="315"/>
      <c r="GG24" s="315"/>
      <c r="GH24" s="315"/>
      <c r="GI24" s="315"/>
      <c r="GJ24" s="315"/>
      <c r="GK24" s="315"/>
      <c r="GL24" s="315"/>
      <c r="GM24" s="315"/>
      <c r="GN24" s="315"/>
      <c r="GO24" s="315"/>
      <c r="GP24" s="315"/>
      <c r="GQ24" s="315"/>
      <c r="GR24" s="315"/>
      <c r="GS24" s="315"/>
      <c r="GT24" s="315"/>
      <c r="GU24" s="315"/>
      <c r="GV24" s="315"/>
      <c r="GW24" s="315"/>
      <c r="GX24" s="315"/>
      <c r="GY24" s="315"/>
      <c r="GZ24" s="315"/>
      <c r="HA24" s="315"/>
      <c r="HB24" s="315"/>
      <c r="HC24" s="315"/>
      <c r="HD24" s="315"/>
      <c r="HE24" s="315"/>
      <c r="HF24" s="315"/>
      <c r="HG24" s="315"/>
      <c r="HH24" s="315"/>
      <c r="HI24" s="315"/>
      <c r="HJ24" s="315"/>
      <c r="HK24" s="315"/>
      <c r="HL24" s="315"/>
      <c r="HM24" s="315"/>
      <c r="HN24" s="315"/>
      <c r="HO24" s="315"/>
      <c r="HP24" s="315"/>
      <c r="HQ24" s="315"/>
      <c r="HR24" s="315"/>
      <c r="HS24" s="315"/>
      <c r="HT24" s="315"/>
      <c r="HU24" s="315"/>
      <c r="HV24" s="315"/>
      <c r="HW24" s="315"/>
      <c r="HX24" s="315"/>
      <c r="HY24" s="315"/>
      <c r="HZ24" s="315"/>
      <c r="IA24" s="315"/>
      <c r="IB24" s="315"/>
      <c r="IC24" s="315"/>
      <c r="ID24" s="315"/>
      <c r="IE24" s="315"/>
      <c r="IF24" s="315"/>
      <c r="IG24" s="315"/>
      <c r="IH24" s="315"/>
      <c r="II24" s="315"/>
      <c r="IJ24" s="315"/>
      <c r="IK24" s="315"/>
      <c r="IL24" s="315"/>
      <c r="IM24" s="315"/>
      <c r="IN24" s="315"/>
      <c r="IO24" s="315"/>
      <c r="IP24" s="315"/>
      <c r="IQ24" s="315"/>
      <c r="IR24" s="315"/>
    </row>
    <row r="25" spans="1:252" ht="15">
      <c r="A25" s="292"/>
      <c r="B25" s="316" t="str">
        <f>'Balance Sheet Ann'!E10</f>
        <v>Debtors</v>
      </c>
      <c r="C25" s="292"/>
      <c r="D25" s="321">
        <f ca="1">'Balance Sheet Ann'!J10</f>
        <v>5040000</v>
      </c>
      <c r="E25" s="321">
        <f ca="1">'Balance Sheet Ann'!K10</f>
        <v>10080000</v>
      </c>
      <c r="F25" s="321">
        <f ca="1">'Balance Sheet Ann'!L10</f>
        <v>20160000</v>
      </c>
      <c r="G25" s="321">
        <f ca="1">'Balance Sheet Ann'!M10</f>
        <v>47880000</v>
      </c>
      <c r="H25" s="321">
        <f ca="1">'Balance Sheet Ann'!N10</f>
        <v>95760000</v>
      </c>
      <c r="I25" s="292"/>
      <c r="J25" s="292"/>
      <c r="K25" s="315"/>
      <c r="L25" s="315"/>
      <c r="M25" s="315"/>
      <c r="N25" s="315"/>
      <c r="O25" s="315"/>
      <c r="P25" s="315"/>
      <c r="Q25" s="315"/>
      <c r="R25" s="315"/>
      <c r="S25" s="315"/>
      <c r="T25" s="315"/>
      <c r="U25" s="315"/>
      <c r="V25" s="315"/>
      <c r="W25" s="315"/>
      <c r="X25" s="315"/>
      <c r="Y25" s="315"/>
      <c r="Z25" s="315"/>
      <c r="AA25" s="315"/>
      <c r="AB25" s="315"/>
      <c r="AC25" s="315"/>
      <c r="AD25" s="315"/>
      <c r="AE25" s="315"/>
      <c r="AF25" s="315"/>
      <c r="AG25" s="315"/>
      <c r="AH25" s="315"/>
      <c r="AI25" s="315"/>
      <c r="AJ25" s="315"/>
      <c r="AK25" s="315"/>
      <c r="AL25" s="315"/>
      <c r="AM25" s="315"/>
      <c r="AN25" s="315"/>
      <c r="AO25" s="315"/>
      <c r="AP25" s="315"/>
      <c r="AQ25" s="315"/>
      <c r="AR25" s="315"/>
      <c r="AS25" s="315"/>
      <c r="AT25" s="315"/>
      <c r="AU25" s="315"/>
      <c r="AV25" s="315"/>
      <c r="AW25" s="315"/>
      <c r="AX25" s="315"/>
      <c r="AY25" s="315"/>
      <c r="AZ25" s="315"/>
      <c r="BA25" s="315"/>
      <c r="BB25" s="315"/>
      <c r="BC25" s="315"/>
      <c r="BD25" s="315"/>
      <c r="BE25" s="315"/>
      <c r="BF25" s="315"/>
      <c r="BG25" s="315"/>
      <c r="BH25" s="315"/>
      <c r="BI25" s="315"/>
      <c r="BJ25" s="315"/>
      <c r="BK25" s="315"/>
      <c r="BL25" s="315"/>
      <c r="BM25" s="315"/>
      <c r="BN25" s="315"/>
      <c r="BO25" s="315"/>
      <c r="BP25" s="315"/>
      <c r="BQ25" s="315"/>
      <c r="BR25" s="315"/>
      <c r="BS25" s="315"/>
      <c r="BT25" s="315"/>
      <c r="BU25" s="315"/>
      <c r="BV25" s="315"/>
      <c r="BW25" s="315"/>
      <c r="BX25" s="315"/>
      <c r="BY25" s="315"/>
      <c r="BZ25" s="315"/>
      <c r="CA25" s="315"/>
      <c r="CB25" s="315"/>
      <c r="CC25" s="315"/>
      <c r="CD25" s="315"/>
      <c r="CE25" s="315"/>
      <c r="CF25" s="315"/>
      <c r="CG25" s="315"/>
      <c r="CH25" s="315"/>
      <c r="CI25" s="315"/>
      <c r="CJ25" s="315"/>
      <c r="CK25" s="315"/>
      <c r="CL25" s="315"/>
      <c r="CM25" s="315"/>
      <c r="CN25" s="315"/>
      <c r="CO25" s="315"/>
      <c r="CP25" s="315"/>
      <c r="CQ25" s="315"/>
      <c r="CR25" s="315"/>
      <c r="CS25" s="315"/>
      <c r="CT25" s="315"/>
      <c r="CU25" s="315"/>
      <c r="CV25" s="315"/>
      <c r="CW25" s="315"/>
      <c r="CX25" s="315"/>
      <c r="CY25" s="315"/>
      <c r="CZ25" s="315"/>
      <c r="DA25" s="315"/>
      <c r="DB25" s="315"/>
      <c r="DC25" s="315"/>
      <c r="DD25" s="315"/>
      <c r="DE25" s="315"/>
      <c r="DF25" s="315"/>
      <c r="DG25" s="315"/>
      <c r="DH25" s="315"/>
      <c r="DI25" s="315"/>
      <c r="DJ25" s="315"/>
      <c r="DK25" s="315"/>
      <c r="DL25" s="315"/>
      <c r="DM25" s="315"/>
      <c r="DN25" s="315"/>
      <c r="DO25" s="315"/>
      <c r="DP25" s="315"/>
      <c r="DQ25" s="315"/>
      <c r="DR25" s="315"/>
      <c r="DS25" s="315"/>
      <c r="DT25" s="315"/>
      <c r="DU25" s="315"/>
      <c r="DV25" s="315"/>
      <c r="DW25" s="315"/>
      <c r="DX25" s="315"/>
      <c r="DY25" s="315"/>
      <c r="DZ25" s="315"/>
      <c r="EA25" s="315"/>
      <c r="EB25" s="315"/>
      <c r="EC25" s="315"/>
      <c r="ED25" s="315"/>
      <c r="EE25" s="315"/>
      <c r="EF25" s="315"/>
      <c r="EG25" s="315"/>
      <c r="EH25" s="315"/>
      <c r="EI25" s="315"/>
      <c r="EJ25" s="315"/>
      <c r="EK25" s="315"/>
      <c r="EL25" s="315"/>
      <c r="EM25" s="315"/>
      <c r="EN25" s="315"/>
      <c r="EO25" s="315"/>
      <c r="EP25" s="315"/>
      <c r="EQ25" s="315"/>
      <c r="ER25" s="315"/>
      <c r="ES25" s="315"/>
      <c r="ET25" s="315"/>
      <c r="EU25" s="315"/>
      <c r="EV25" s="315"/>
      <c r="EW25" s="315"/>
      <c r="EX25" s="315"/>
      <c r="EY25" s="315"/>
      <c r="EZ25" s="315"/>
      <c r="FA25" s="315"/>
      <c r="FB25" s="315"/>
      <c r="FC25" s="315"/>
      <c r="FD25" s="315"/>
      <c r="FE25" s="315"/>
      <c r="FF25" s="315"/>
      <c r="FG25" s="315"/>
      <c r="FH25" s="315"/>
      <c r="FI25" s="315"/>
      <c r="FJ25" s="315"/>
      <c r="FK25" s="315"/>
      <c r="FL25" s="315"/>
      <c r="FM25" s="315"/>
      <c r="FN25" s="315"/>
      <c r="FO25" s="315"/>
      <c r="FP25" s="315"/>
      <c r="FQ25" s="315"/>
      <c r="FR25" s="315"/>
      <c r="FS25" s="315"/>
      <c r="FT25" s="315"/>
      <c r="FU25" s="315"/>
      <c r="FV25" s="315"/>
      <c r="FW25" s="315"/>
      <c r="FX25" s="315"/>
      <c r="FY25" s="315"/>
      <c r="FZ25" s="315"/>
      <c r="GA25" s="315"/>
      <c r="GB25" s="315"/>
      <c r="GC25" s="315"/>
      <c r="GD25" s="315"/>
      <c r="GE25" s="315"/>
      <c r="GF25" s="315"/>
      <c r="GG25" s="315"/>
      <c r="GH25" s="315"/>
      <c r="GI25" s="315"/>
      <c r="GJ25" s="315"/>
      <c r="GK25" s="315"/>
      <c r="GL25" s="315"/>
      <c r="GM25" s="315"/>
      <c r="GN25" s="315"/>
      <c r="GO25" s="315"/>
      <c r="GP25" s="315"/>
      <c r="GQ25" s="315"/>
      <c r="GR25" s="315"/>
      <c r="GS25" s="315"/>
      <c r="GT25" s="315"/>
      <c r="GU25" s="315"/>
      <c r="GV25" s="315"/>
      <c r="GW25" s="315"/>
      <c r="GX25" s="315"/>
      <c r="GY25" s="315"/>
      <c r="GZ25" s="315"/>
      <c r="HA25" s="315"/>
      <c r="HB25" s="315"/>
      <c r="HC25" s="315"/>
      <c r="HD25" s="315"/>
      <c r="HE25" s="315"/>
      <c r="HF25" s="315"/>
      <c r="HG25" s="315"/>
      <c r="HH25" s="315"/>
      <c r="HI25" s="315"/>
      <c r="HJ25" s="315"/>
      <c r="HK25" s="315"/>
      <c r="HL25" s="315"/>
      <c r="HM25" s="315"/>
      <c r="HN25" s="315"/>
      <c r="HO25" s="315"/>
      <c r="HP25" s="315"/>
      <c r="HQ25" s="315"/>
      <c r="HR25" s="315"/>
      <c r="HS25" s="315"/>
      <c r="HT25" s="315"/>
      <c r="HU25" s="315"/>
      <c r="HV25" s="315"/>
      <c r="HW25" s="315"/>
      <c r="HX25" s="315"/>
      <c r="HY25" s="315"/>
      <c r="HZ25" s="315"/>
      <c r="IA25" s="315"/>
      <c r="IB25" s="315"/>
      <c r="IC25" s="315"/>
      <c r="ID25" s="315"/>
      <c r="IE25" s="315"/>
      <c r="IF25" s="315"/>
      <c r="IG25" s="315"/>
      <c r="IH25" s="315"/>
      <c r="II25" s="315"/>
      <c r="IJ25" s="315"/>
      <c r="IK25" s="315"/>
      <c r="IL25" s="315"/>
      <c r="IM25" s="315"/>
      <c r="IN25" s="315"/>
      <c r="IO25" s="315"/>
      <c r="IP25" s="315"/>
      <c r="IQ25" s="315"/>
      <c r="IR25" s="315"/>
    </row>
    <row r="26" spans="1:252" s="326" customFormat="1" ht="14.5">
      <c r="A26" s="316"/>
      <c r="B26" s="316" t="str">
        <f>'Balance Sheet Ann'!E11</f>
        <v>Cash</v>
      </c>
      <c r="C26" s="292"/>
      <c r="D26" s="321">
        <f ca="1">'Balance Sheet Ann'!J11</f>
        <v>2472193.3165630135</v>
      </c>
      <c r="E26" s="321">
        <f ca="1">'Balance Sheet Ann'!K11</f>
        <v>20335597.073989335</v>
      </c>
      <c r="F26" s="321">
        <f ca="1">'Balance Sheet Ann'!L11</f>
        <v>64262517.036365427</v>
      </c>
      <c r="G26" s="321">
        <f ca="1">'Balance Sheet Ann'!M11</f>
        <v>176366212.33554223</v>
      </c>
      <c r="H26" s="321">
        <f ca="1">'Balance Sheet Ann'!N11</f>
        <v>419383336.21187401</v>
      </c>
      <c r="I26" s="316"/>
      <c r="J26" s="316"/>
      <c r="K26" s="316"/>
      <c r="L26" s="325"/>
      <c r="M26" s="325"/>
      <c r="N26" s="325"/>
      <c r="O26" s="325"/>
      <c r="P26" s="325"/>
      <c r="Q26" s="325"/>
      <c r="R26" s="325"/>
      <c r="S26" s="325"/>
      <c r="T26" s="325"/>
      <c r="U26" s="325"/>
      <c r="V26" s="325"/>
      <c r="W26" s="325"/>
      <c r="X26" s="325"/>
      <c r="Y26" s="325"/>
      <c r="Z26" s="325"/>
      <c r="AA26" s="325"/>
      <c r="AB26" s="325"/>
      <c r="AC26" s="325"/>
      <c r="AD26" s="325"/>
      <c r="AE26" s="325"/>
      <c r="AF26" s="325"/>
      <c r="AG26" s="325"/>
      <c r="AH26" s="325"/>
      <c r="AI26" s="325"/>
      <c r="AJ26" s="325"/>
      <c r="AK26" s="325"/>
      <c r="AL26" s="325"/>
      <c r="AM26" s="325"/>
      <c r="AN26" s="325"/>
      <c r="AO26" s="325"/>
      <c r="AP26" s="325"/>
      <c r="AQ26" s="325"/>
      <c r="AR26" s="325"/>
      <c r="AS26" s="325"/>
      <c r="AT26" s="325"/>
      <c r="AU26" s="325"/>
      <c r="AV26" s="325"/>
      <c r="AW26" s="325"/>
      <c r="AX26" s="325"/>
      <c r="AY26" s="325"/>
      <c r="AZ26" s="325"/>
      <c r="BA26" s="325"/>
      <c r="BB26" s="325"/>
      <c r="BC26" s="325"/>
      <c r="BD26" s="325"/>
      <c r="BE26" s="325"/>
      <c r="BF26" s="325"/>
      <c r="BG26" s="325"/>
      <c r="BH26" s="325"/>
      <c r="BI26" s="325"/>
      <c r="BJ26" s="325"/>
      <c r="BK26" s="325"/>
      <c r="BL26" s="325"/>
      <c r="BM26" s="325"/>
      <c r="BN26" s="325"/>
      <c r="BO26" s="325"/>
      <c r="BP26" s="325"/>
      <c r="BQ26" s="325"/>
      <c r="BR26" s="325"/>
      <c r="BS26" s="325"/>
      <c r="BT26" s="325"/>
      <c r="BU26" s="325"/>
      <c r="BV26" s="325"/>
      <c r="BW26" s="325"/>
      <c r="BX26" s="325"/>
      <c r="BY26" s="325"/>
      <c r="BZ26" s="325"/>
      <c r="CA26" s="325"/>
      <c r="CB26" s="325"/>
      <c r="CC26" s="325"/>
      <c r="CD26" s="325"/>
      <c r="CE26" s="325"/>
      <c r="CF26" s="325"/>
      <c r="CG26" s="325"/>
      <c r="CH26" s="325"/>
      <c r="CI26" s="325"/>
      <c r="CJ26" s="325"/>
      <c r="CK26" s="325"/>
      <c r="CL26" s="325"/>
      <c r="CM26" s="325"/>
      <c r="CN26" s="325"/>
      <c r="CO26" s="325"/>
      <c r="CP26" s="325"/>
      <c r="CQ26" s="325"/>
      <c r="CR26" s="325"/>
      <c r="CS26" s="325"/>
      <c r="CT26" s="325"/>
      <c r="CU26" s="325"/>
      <c r="CV26" s="325"/>
      <c r="CW26" s="325"/>
      <c r="CX26" s="325"/>
      <c r="CY26" s="325"/>
      <c r="CZ26" s="325"/>
      <c r="DA26" s="325"/>
      <c r="DB26" s="325"/>
      <c r="DC26" s="325"/>
      <c r="DD26" s="325"/>
      <c r="DE26" s="325"/>
      <c r="DF26" s="325"/>
      <c r="DG26" s="325"/>
      <c r="DH26" s="325"/>
      <c r="DI26" s="325"/>
      <c r="DJ26" s="325"/>
      <c r="DK26" s="325"/>
      <c r="DL26" s="325"/>
      <c r="DM26" s="325"/>
      <c r="DN26" s="325"/>
      <c r="DO26" s="325"/>
      <c r="DP26" s="325"/>
      <c r="DQ26" s="325"/>
      <c r="DR26" s="325"/>
      <c r="DS26" s="325"/>
      <c r="DT26" s="325"/>
      <c r="DU26" s="325"/>
      <c r="DV26" s="325"/>
      <c r="DW26" s="325"/>
      <c r="DX26" s="325"/>
      <c r="DY26" s="325"/>
      <c r="DZ26" s="325"/>
      <c r="EA26" s="325"/>
      <c r="EB26" s="325"/>
      <c r="EC26" s="325"/>
      <c r="ED26" s="325"/>
      <c r="EE26" s="325"/>
      <c r="EF26" s="325"/>
      <c r="EG26" s="325"/>
      <c r="EH26" s="325"/>
      <c r="EI26" s="325"/>
      <c r="EJ26" s="325"/>
      <c r="EK26" s="325"/>
      <c r="EL26" s="325"/>
      <c r="EM26" s="325"/>
      <c r="EN26" s="325"/>
      <c r="EO26" s="325"/>
      <c r="EP26" s="325"/>
      <c r="EQ26" s="325"/>
      <c r="ER26" s="325"/>
      <c r="ES26" s="325"/>
      <c r="ET26" s="325"/>
      <c r="EU26" s="325"/>
      <c r="EV26" s="325"/>
      <c r="EW26" s="325"/>
      <c r="EX26" s="325"/>
      <c r="EY26" s="325"/>
      <c r="EZ26" s="325"/>
      <c r="FA26" s="325"/>
      <c r="FB26" s="325"/>
      <c r="FC26" s="325"/>
      <c r="FD26" s="325"/>
      <c r="FE26" s="325"/>
      <c r="FF26" s="325"/>
      <c r="FG26" s="325"/>
      <c r="FH26" s="325"/>
      <c r="FI26" s="325"/>
      <c r="FJ26" s="325"/>
      <c r="FK26" s="325"/>
      <c r="FL26" s="325"/>
      <c r="FM26" s="325"/>
      <c r="FN26" s="325"/>
      <c r="FO26" s="325"/>
      <c r="FP26" s="325"/>
      <c r="FQ26" s="325"/>
      <c r="FR26" s="325"/>
      <c r="FS26" s="325"/>
      <c r="FT26" s="325"/>
      <c r="FU26" s="325"/>
      <c r="FV26" s="325"/>
      <c r="FW26" s="325"/>
      <c r="FX26" s="325"/>
      <c r="FY26" s="325"/>
      <c r="FZ26" s="325"/>
      <c r="GA26" s="325"/>
      <c r="GB26" s="325"/>
      <c r="GC26" s="325"/>
      <c r="GD26" s="325"/>
      <c r="GE26" s="325"/>
      <c r="GF26" s="325"/>
      <c r="GG26" s="325"/>
      <c r="GH26" s="325"/>
      <c r="GI26" s="325"/>
      <c r="GJ26" s="325"/>
      <c r="GK26" s="325"/>
      <c r="GL26" s="325"/>
      <c r="GM26" s="325"/>
      <c r="GN26" s="325"/>
      <c r="GO26" s="325"/>
      <c r="GP26" s="325"/>
      <c r="GQ26" s="325"/>
      <c r="GR26" s="325"/>
      <c r="GS26" s="325"/>
      <c r="GT26" s="325"/>
      <c r="GU26" s="325"/>
      <c r="GV26" s="325"/>
      <c r="GW26" s="325"/>
      <c r="GX26" s="325"/>
      <c r="GY26" s="325"/>
      <c r="GZ26" s="325"/>
      <c r="HA26" s="325"/>
      <c r="HB26" s="325"/>
      <c r="HC26" s="325"/>
      <c r="HD26" s="325"/>
      <c r="HE26" s="325"/>
      <c r="HF26" s="325"/>
      <c r="HG26" s="325"/>
      <c r="HH26" s="325"/>
      <c r="HI26" s="325"/>
      <c r="HJ26" s="325"/>
      <c r="HK26" s="325"/>
      <c r="HL26" s="325"/>
      <c r="HM26" s="325"/>
      <c r="HN26" s="325"/>
      <c r="HO26" s="325"/>
      <c r="HP26" s="325"/>
      <c r="HQ26" s="325"/>
      <c r="HR26" s="325"/>
      <c r="HS26" s="325"/>
      <c r="HT26" s="325"/>
      <c r="HU26" s="325"/>
      <c r="HV26" s="325"/>
      <c r="HW26" s="325"/>
      <c r="HX26" s="325"/>
      <c r="HY26" s="325"/>
      <c r="HZ26" s="325"/>
      <c r="IA26" s="325"/>
      <c r="IB26" s="325"/>
      <c r="IC26" s="325"/>
      <c r="ID26" s="325"/>
      <c r="IE26" s="325"/>
      <c r="IF26" s="325"/>
      <c r="IG26" s="325"/>
      <c r="IH26" s="325"/>
      <c r="II26" s="325"/>
      <c r="IJ26" s="325"/>
      <c r="IK26" s="325"/>
      <c r="IL26" s="325"/>
      <c r="IM26" s="325"/>
      <c r="IN26" s="325"/>
      <c r="IO26" s="325"/>
      <c r="IP26" s="325"/>
      <c r="IQ26" s="325"/>
      <c r="IR26" s="325"/>
    </row>
    <row r="27" spans="1:252" ht="15">
      <c r="A27" s="292"/>
      <c r="B27" s="327" t="str">
        <f>'Balance Sheet Ann'!E12</f>
        <v>Assets</v>
      </c>
      <c r="C27" s="323"/>
      <c r="D27" s="324">
        <f ca="1">'Balance Sheet Ann'!J12</f>
        <v>9094484.98322968</v>
      </c>
      <c r="E27" s="324">
        <f ca="1">'Balance Sheet Ann'!K12</f>
        <v>33718722.073989332</v>
      </c>
      <c r="F27" s="324">
        <f ca="1">'Balance Sheet Ann'!L12</f>
        <v>93306683.703032091</v>
      </c>
      <c r="G27" s="324">
        <f ca="1">'Balance Sheet Ann'!M12</f>
        <v>243900374.60870111</v>
      </c>
      <c r="H27" s="324">
        <f ca="1">'Balance Sheet Ann'!N12</f>
        <v>555966823.98404741</v>
      </c>
      <c r="I27" s="292"/>
      <c r="J27" s="292"/>
      <c r="K27" s="315"/>
      <c r="L27" s="315"/>
      <c r="M27" s="315"/>
      <c r="N27" s="315"/>
      <c r="O27" s="315"/>
      <c r="P27" s="315"/>
      <c r="Q27" s="315"/>
      <c r="R27" s="315"/>
      <c r="S27" s="315"/>
      <c r="T27" s="315"/>
      <c r="U27" s="315"/>
      <c r="V27" s="315"/>
      <c r="W27" s="315"/>
      <c r="X27" s="315"/>
      <c r="Y27" s="315"/>
      <c r="Z27" s="315"/>
      <c r="AA27" s="315"/>
      <c r="AB27" s="315"/>
      <c r="AC27" s="315"/>
      <c r="AD27" s="315"/>
      <c r="AE27" s="315"/>
      <c r="AF27" s="315"/>
      <c r="AG27" s="315"/>
      <c r="AH27" s="315"/>
      <c r="AI27" s="315"/>
      <c r="AJ27" s="315"/>
      <c r="AK27" s="315"/>
      <c r="AL27" s="315"/>
      <c r="AM27" s="315"/>
      <c r="AN27" s="315"/>
      <c r="AO27" s="315"/>
      <c r="AP27" s="315"/>
      <c r="AQ27" s="315"/>
      <c r="AR27" s="315"/>
      <c r="AS27" s="315"/>
      <c r="AT27" s="315"/>
      <c r="AU27" s="315"/>
      <c r="AV27" s="315"/>
      <c r="AW27" s="315"/>
      <c r="AX27" s="315"/>
      <c r="AY27" s="315"/>
      <c r="AZ27" s="315"/>
      <c r="BA27" s="315"/>
      <c r="BB27" s="315"/>
      <c r="BC27" s="315"/>
      <c r="BD27" s="315"/>
      <c r="BE27" s="315"/>
      <c r="BF27" s="315"/>
      <c r="BG27" s="315"/>
      <c r="BH27" s="315"/>
      <c r="BI27" s="315"/>
      <c r="BJ27" s="315"/>
      <c r="BK27" s="315"/>
      <c r="BL27" s="315"/>
      <c r="BM27" s="315"/>
      <c r="BN27" s="315"/>
      <c r="BO27" s="315"/>
      <c r="BP27" s="315"/>
      <c r="BQ27" s="315"/>
      <c r="BR27" s="315"/>
      <c r="BS27" s="315"/>
      <c r="BT27" s="315"/>
      <c r="BU27" s="315"/>
      <c r="BV27" s="315"/>
      <c r="BW27" s="315"/>
      <c r="BX27" s="315"/>
      <c r="BY27" s="315"/>
      <c r="BZ27" s="315"/>
      <c r="CA27" s="315"/>
      <c r="CB27" s="315"/>
      <c r="CC27" s="315"/>
      <c r="CD27" s="315"/>
      <c r="CE27" s="315"/>
      <c r="CF27" s="315"/>
      <c r="CG27" s="315"/>
      <c r="CH27" s="315"/>
      <c r="CI27" s="315"/>
      <c r="CJ27" s="315"/>
      <c r="CK27" s="315"/>
      <c r="CL27" s="315"/>
      <c r="CM27" s="315"/>
      <c r="CN27" s="315"/>
      <c r="CO27" s="315"/>
      <c r="CP27" s="315"/>
      <c r="CQ27" s="315"/>
      <c r="CR27" s="315"/>
      <c r="CS27" s="315"/>
      <c r="CT27" s="315"/>
      <c r="CU27" s="315"/>
      <c r="CV27" s="315"/>
      <c r="CW27" s="315"/>
      <c r="CX27" s="315"/>
      <c r="CY27" s="315"/>
      <c r="CZ27" s="315"/>
      <c r="DA27" s="315"/>
      <c r="DB27" s="315"/>
      <c r="DC27" s="315"/>
      <c r="DD27" s="315"/>
      <c r="DE27" s="315"/>
      <c r="DF27" s="315"/>
      <c r="DG27" s="315"/>
      <c r="DH27" s="315"/>
      <c r="DI27" s="315"/>
      <c r="DJ27" s="315"/>
      <c r="DK27" s="315"/>
      <c r="DL27" s="315"/>
      <c r="DM27" s="315"/>
      <c r="DN27" s="315"/>
      <c r="DO27" s="315"/>
      <c r="DP27" s="315"/>
      <c r="DQ27" s="315"/>
      <c r="DR27" s="315"/>
      <c r="DS27" s="315"/>
      <c r="DT27" s="315"/>
      <c r="DU27" s="315"/>
      <c r="DV27" s="315"/>
      <c r="DW27" s="315"/>
      <c r="DX27" s="315"/>
      <c r="DY27" s="315"/>
      <c r="DZ27" s="315"/>
      <c r="EA27" s="315"/>
      <c r="EB27" s="315"/>
      <c r="EC27" s="315"/>
      <c r="ED27" s="315"/>
      <c r="EE27" s="315"/>
      <c r="EF27" s="315"/>
      <c r="EG27" s="315"/>
      <c r="EH27" s="315"/>
      <c r="EI27" s="315"/>
      <c r="EJ27" s="315"/>
      <c r="EK27" s="315"/>
      <c r="EL27" s="315"/>
      <c r="EM27" s="315"/>
      <c r="EN27" s="315"/>
      <c r="EO27" s="315"/>
      <c r="EP27" s="315"/>
      <c r="EQ27" s="315"/>
      <c r="ER27" s="315"/>
      <c r="ES27" s="315"/>
      <c r="ET27" s="315"/>
      <c r="EU27" s="315"/>
      <c r="EV27" s="315"/>
      <c r="EW27" s="315"/>
      <c r="EX27" s="315"/>
      <c r="EY27" s="315"/>
      <c r="EZ27" s="315"/>
      <c r="FA27" s="315"/>
      <c r="FB27" s="315"/>
      <c r="FC27" s="315"/>
      <c r="FD27" s="315"/>
      <c r="FE27" s="315"/>
      <c r="FF27" s="315"/>
      <c r="FG27" s="315"/>
      <c r="FH27" s="315"/>
      <c r="FI27" s="315"/>
      <c r="FJ27" s="315"/>
      <c r="FK27" s="315"/>
      <c r="FL27" s="315"/>
      <c r="FM27" s="315"/>
      <c r="FN27" s="315"/>
      <c r="FO27" s="315"/>
      <c r="FP27" s="315"/>
      <c r="FQ27" s="315"/>
      <c r="FR27" s="315"/>
      <c r="FS27" s="315"/>
      <c r="FT27" s="315"/>
      <c r="FU27" s="315"/>
      <c r="FV27" s="315"/>
      <c r="FW27" s="315"/>
      <c r="FX27" s="315"/>
      <c r="FY27" s="315"/>
      <c r="FZ27" s="315"/>
      <c r="GA27" s="315"/>
      <c r="GB27" s="315"/>
      <c r="GC27" s="315"/>
      <c r="GD27" s="315"/>
      <c r="GE27" s="315"/>
      <c r="GF27" s="315"/>
      <c r="GG27" s="315"/>
      <c r="GH27" s="315"/>
      <c r="GI27" s="315"/>
      <c r="GJ27" s="315"/>
      <c r="GK27" s="315"/>
      <c r="GL27" s="315"/>
      <c r="GM27" s="315"/>
      <c r="GN27" s="315"/>
      <c r="GO27" s="315"/>
      <c r="GP27" s="315"/>
      <c r="GQ27" s="315"/>
      <c r="GR27" s="315"/>
      <c r="GS27" s="315"/>
      <c r="GT27" s="315"/>
      <c r="GU27" s="315"/>
      <c r="GV27" s="315"/>
      <c r="GW27" s="315"/>
      <c r="GX27" s="315"/>
      <c r="GY27" s="315"/>
      <c r="GZ27" s="315"/>
      <c r="HA27" s="315"/>
      <c r="HB27" s="315"/>
      <c r="HC27" s="315"/>
      <c r="HD27" s="315"/>
      <c r="HE27" s="315"/>
      <c r="HF27" s="315"/>
      <c r="HG27" s="315"/>
      <c r="HH27" s="315"/>
      <c r="HI27" s="315"/>
      <c r="HJ27" s="315"/>
      <c r="HK27" s="315"/>
      <c r="HL27" s="315"/>
      <c r="HM27" s="315"/>
      <c r="HN27" s="315"/>
      <c r="HO27" s="315"/>
      <c r="HP27" s="315"/>
      <c r="HQ27" s="315"/>
      <c r="HR27" s="315"/>
      <c r="HS27" s="315"/>
      <c r="HT27" s="315"/>
      <c r="HU27" s="315"/>
      <c r="HV27" s="315"/>
      <c r="HW27" s="315"/>
      <c r="HX27" s="315"/>
      <c r="HY27" s="315"/>
      <c r="HZ27" s="315"/>
      <c r="IA27" s="315"/>
      <c r="IB27" s="315"/>
      <c r="IC27" s="315"/>
      <c r="ID27" s="315"/>
      <c r="IE27" s="315"/>
      <c r="IF27" s="315"/>
      <c r="IG27" s="315"/>
      <c r="IH27" s="315"/>
      <c r="II27" s="315"/>
      <c r="IJ27" s="315"/>
      <c r="IK27" s="315"/>
      <c r="IL27" s="315"/>
      <c r="IM27" s="315"/>
      <c r="IN27" s="315"/>
      <c r="IO27" s="315"/>
      <c r="IP27" s="315"/>
      <c r="IQ27" s="315"/>
      <c r="IR27" s="315"/>
    </row>
    <row r="28" spans="1:252" ht="15">
      <c r="A28" s="292"/>
      <c r="B28" s="294"/>
      <c r="C28" s="292"/>
      <c r="D28" s="321"/>
      <c r="E28" s="321"/>
      <c r="F28" s="321"/>
      <c r="G28" s="321"/>
      <c r="H28" s="321"/>
      <c r="I28" s="292"/>
      <c r="J28" s="292"/>
      <c r="K28" s="315"/>
      <c r="L28" s="315"/>
      <c r="M28" s="315"/>
      <c r="N28" s="315"/>
      <c r="O28" s="315"/>
      <c r="P28" s="315"/>
      <c r="Q28" s="315"/>
      <c r="R28" s="315"/>
      <c r="S28" s="315"/>
      <c r="T28" s="315"/>
      <c r="U28" s="315"/>
      <c r="V28" s="315"/>
      <c r="W28" s="315"/>
      <c r="X28" s="315"/>
      <c r="Y28" s="315"/>
      <c r="Z28" s="315"/>
      <c r="AA28" s="315"/>
      <c r="AB28" s="315"/>
      <c r="AC28" s="315"/>
      <c r="AD28" s="315"/>
      <c r="AE28" s="315"/>
      <c r="AF28" s="315"/>
      <c r="AG28" s="315"/>
      <c r="AH28" s="315"/>
      <c r="AI28" s="315"/>
      <c r="AJ28" s="315"/>
      <c r="AK28" s="315"/>
      <c r="AL28" s="315"/>
      <c r="AM28" s="315"/>
      <c r="AN28" s="315"/>
      <c r="AO28" s="315"/>
      <c r="AP28" s="315"/>
      <c r="AQ28" s="315"/>
      <c r="AR28" s="315"/>
      <c r="AS28" s="315"/>
      <c r="AT28" s="315"/>
      <c r="AU28" s="315"/>
      <c r="AV28" s="315"/>
      <c r="AW28" s="315"/>
      <c r="AX28" s="315"/>
      <c r="AY28" s="315"/>
      <c r="AZ28" s="315"/>
      <c r="BA28" s="315"/>
      <c r="BB28" s="315"/>
      <c r="BC28" s="315"/>
      <c r="BD28" s="315"/>
      <c r="BE28" s="315"/>
      <c r="BF28" s="315"/>
      <c r="BG28" s="315"/>
      <c r="BH28" s="315"/>
      <c r="BI28" s="315"/>
      <c r="BJ28" s="315"/>
      <c r="BK28" s="315"/>
      <c r="BL28" s="315"/>
      <c r="BM28" s="315"/>
      <c r="BN28" s="315"/>
      <c r="BO28" s="315"/>
      <c r="BP28" s="315"/>
      <c r="BQ28" s="315"/>
      <c r="BR28" s="315"/>
      <c r="BS28" s="315"/>
      <c r="BT28" s="315"/>
      <c r="BU28" s="315"/>
      <c r="BV28" s="315"/>
      <c r="BW28" s="315"/>
      <c r="BX28" s="315"/>
      <c r="BY28" s="315"/>
      <c r="BZ28" s="315"/>
      <c r="CA28" s="315"/>
      <c r="CB28" s="315"/>
      <c r="CC28" s="315"/>
      <c r="CD28" s="315"/>
      <c r="CE28" s="315"/>
      <c r="CF28" s="315"/>
      <c r="CG28" s="315"/>
      <c r="CH28" s="315"/>
      <c r="CI28" s="315"/>
      <c r="CJ28" s="315"/>
      <c r="CK28" s="315"/>
      <c r="CL28" s="315"/>
      <c r="CM28" s="315"/>
      <c r="CN28" s="315"/>
      <c r="CO28" s="315"/>
      <c r="CP28" s="315"/>
      <c r="CQ28" s="315"/>
      <c r="CR28" s="315"/>
      <c r="CS28" s="315"/>
      <c r="CT28" s="315"/>
      <c r="CU28" s="315"/>
      <c r="CV28" s="315"/>
      <c r="CW28" s="315"/>
      <c r="CX28" s="315"/>
      <c r="CY28" s="315"/>
      <c r="CZ28" s="315"/>
      <c r="DA28" s="315"/>
      <c r="DB28" s="315"/>
      <c r="DC28" s="315"/>
      <c r="DD28" s="315"/>
      <c r="DE28" s="315"/>
      <c r="DF28" s="315"/>
      <c r="DG28" s="315"/>
      <c r="DH28" s="315"/>
      <c r="DI28" s="315"/>
      <c r="DJ28" s="315"/>
      <c r="DK28" s="315"/>
      <c r="DL28" s="315"/>
      <c r="DM28" s="315"/>
      <c r="DN28" s="315"/>
      <c r="DO28" s="315"/>
      <c r="DP28" s="315"/>
      <c r="DQ28" s="315"/>
      <c r="DR28" s="315"/>
      <c r="DS28" s="315"/>
      <c r="DT28" s="315"/>
      <c r="DU28" s="315"/>
      <c r="DV28" s="315"/>
      <c r="DW28" s="315"/>
      <c r="DX28" s="315"/>
      <c r="DY28" s="315"/>
      <c r="DZ28" s="315"/>
      <c r="EA28" s="315"/>
      <c r="EB28" s="315"/>
      <c r="EC28" s="315"/>
      <c r="ED28" s="315"/>
      <c r="EE28" s="315"/>
      <c r="EF28" s="315"/>
      <c r="EG28" s="315"/>
      <c r="EH28" s="315"/>
      <c r="EI28" s="315"/>
      <c r="EJ28" s="315"/>
      <c r="EK28" s="315"/>
      <c r="EL28" s="315"/>
      <c r="EM28" s="315"/>
      <c r="EN28" s="315"/>
      <c r="EO28" s="315"/>
      <c r="EP28" s="315"/>
      <c r="EQ28" s="315"/>
      <c r="ER28" s="315"/>
      <c r="ES28" s="315"/>
      <c r="ET28" s="315"/>
      <c r="EU28" s="315"/>
      <c r="EV28" s="315"/>
      <c r="EW28" s="315"/>
      <c r="EX28" s="315"/>
      <c r="EY28" s="315"/>
      <c r="EZ28" s="315"/>
      <c r="FA28" s="315"/>
      <c r="FB28" s="315"/>
      <c r="FC28" s="315"/>
      <c r="FD28" s="315"/>
      <c r="FE28" s="315"/>
      <c r="FF28" s="315"/>
      <c r="FG28" s="315"/>
      <c r="FH28" s="315"/>
      <c r="FI28" s="315"/>
      <c r="FJ28" s="315"/>
      <c r="FK28" s="315"/>
      <c r="FL28" s="315"/>
      <c r="FM28" s="315"/>
      <c r="FN28" s="315"/>
      <c r="FO28" s="315"/>
      <c r="FP28" s="315"/>
      <c r="FQ28" s="315"/>
      <c r="FR28" s="315"/>
      <c r="FS28" s="315"/>
      <c r="FT28" s="315"/>
      <c r="FU28" s="315"/>
      <c r="FV28" s="315"/>
      <c r="FW28" s="315"/>
      <c r="FX28" s="315"/>
      <c r="FY28" s="315"/>
      <c r="FZ28" s="315"/>
      <c r="GA28" s="315"/>
      <c r="GB28" s="315"/>
      <c r="GC28" s="315"/>
      <c r="GD28" s="315"/>
      <c r="GE28" s="315"/>
      <c r="GF28" s="315"/>
      <c r="GG28" s="315"/>
      <c r="GH28" s="315"/>
      <c r="GI28" s="315"/>
      <c r="GJ28" s="315"/>
      <c r="GK28" s="315"/>
      <c r="GL28" s="315"/>
      <c r="GM28" s="315"/>
      <c r="GN28" s="315"/>
      <c r="GO28" s="315"/>
      <c r="GP28" s="315"/>
      <c r="GQ28" s="315"/>
      <c r="GR28" s="315"/>
      <c r="GS28" s="315"/>
      <c r="GT28" s="315"/>
      <c r="GU28" s="315"/>
      <c r="GV28" s="315"/>
      <c r="GW28" s="315"/>
      <c r="GX28" s="315"/>
      <c r="GY28" s="315"/>
      <c r="GZ28" s="315"/>
      <c r="HA28" s="315"/>
      <c r="HB28" s="315"/>
      <c r="HC28" s="315"/>
      <c r="HD28" s="315"/>
      <c r="HE28" s="315"/>
      <c r="HF28" s="315"/>
      <c r="HG28" s="315"/>
      <c r="HH28" s="315"/>
      <c r="HI28" s="315"/>
      <c r="HJ28" s="315"/>
      <c r="HK28" s="315"/>
      <c r="HL28" s="315"/>
      <c r="HM28" s="315"/>
      <c r="HN28" s="315"/>
      <c r="HO28" s="315"/>
      <c r="HP28" s="315"/>
      <c r="HQ28" s="315"/>
      <c r="HR28" s="315"/>
      <c r="HS28" s="315"/>
      <c r="HT28" s="315"/>
      <c r="HU28" s="315"/>
      <c r="HV28" s="315"/>
      <c r="HW28" s="315"/>
      <c r="HX28" s="315"/>
      <c r="HY28" s="315"/>
      <c r="HZ28" s="315"/>
      <c r="IA28" s="315"/>
      <c r="IB28" s="315"/>
      <c r="IC28" s="315"/>
      <c r="ID28" s="315"/>
      <c r="IE28" s="315"/>
      <c r="IF28" s="315"/>
      <c r="IG28" s="315"/>
      <c r="IH28" s="315"/>
      <c r="II28" s="315"/>
      <c r="IJ28" s="315"/>
      <c r="IK28" s="315"/>
      <c r="IL28" s="315"/>
      <c r="IM28" s="315"/>
      <c r="IN28" s="315"/>
      <c r="IO28" s="315"/>
      <c r="IP28" s="315"/>
      <c r="IQ28" s="315"/>
      <c r="IR28" s="315"/>
    </row>
    <row r="29" spans="1:252" ht="15">
      <c r="A29" s="292"/>
      <c r="B29" s="316" t="str">
        <f>'Balance Sheet Ann'!E14</f>
        <v>Deferred Income</v>
      </c>
      <c r="C29" s="292"/>
      <c r="D29" s="321">
        <f ca="1">'Balance Sheet Ann'!J14</f>
        <v>6405000</v>
      </c>
      <c r="E29" s="321">
        <f ca="1">'Balance Sheet Ann'!K14</f>
        <v>13119645.813394628</v>
      </c>
      <c r="F29" s="321">
        <f ca="1">'Balance Sheet Ann'!L14</f>
        <v>36394645.813394628</v>
      </c>
      <c r="G29" s="321">
        <f ca="1">'Balance Sheet Ann'!M14</f>
        <v>104617542.2746014</v>
      </c>
      <c r="H29" s="321">
        <f ca="1">'Balance Sheet Ann'!N14</f>
        <v>243514358.06173703</v>
      </c>
      <c r="I29" s="292"/>
      <c r="J29" s="292"/>
      <c r="K29" s="315"/>
      <c r="L29" s="315"/>
      <c r="M29" s="315"/>
      <c r="N29" s="315"/>
      <c r="O29" s="315"/>
      <c r="P29" s="315"/>
      <c r="Q29" s="315"/>
      <c r="R29" s="315"/>
      <c r="S29" s="315"/>
      <c r="T29" s="315"/>
      <c r="U29" s="315"/>
      <c r="V29" s="315"/>
      <c r="W29" s="315"/>
      <c r="X29" s="315"/>
      <c r="Y29" s="315"/>
      <c r="Z29" s="315"/>
      <c r="AA29" s="315"/>
      <c r="AB29" s="315"/>
      <c r="AC29" s="315"/>
      <c r="AD29" s="315"/>
      <c r="AE29" s="315"/>
      <c r="AF29" s="315"/>
      <c r="AG29" s="315"/>
      <c r="AH29" s="315"/>
      <c r="AI29" s="315"/>
      <c r="AJ29" s="315"/>
      <c r="AK29" s="315"/>
      <c r="AL29" s="315"/>
      <c r="AM29" s="315"/>
      <c r="AN29" s="315"/>
      <c r="AO29" s="315"/>
      <c r="AP29" s="315"/>
      <c r="AQ29" s="315"/>
      <c r="AR29" s="315"/>
      <c r="AS29" s="315"/>
      <c r="AT29" s="315"/>
      <c r="AU29" s="315"/>
      <c r="AV29" s="315"/>
      <c r="AW29" s="315"/>
      <c r="AX29" s="315"/>
      <c r="AY29" s="315"/>
      <c r="AZ29" s="315"/>
      <c r="BA29" s="315"/>
      <c r="BB29" s="315"/>
      <c r="BC29" s="315"/>
      <c r="BD29" s="315"/>
      <c r="BE29" s="315"/>
      <c r="BF29" s="315"/>
      <c r="BG29" s="315"/>
      <c r="BH29" s="315"/>
      <c r="BI29" s="315"/>
      <c r="BJ29" s="315"/>
      <c r="BK29" s="315"/>
      <c r="BL29" s="315"/>
      <c r="BM29" s="315"/>
      <c r="BN29" s="315"/>
      <c r="BO29" s="315"/>
      <c r="BP29" s="315"/>
      <c r="BQ29" s="315"/>
      <c r="BR29" s="315"/>
      <c r="BS29" s="315"/>
      <c r="BT29" s="315"/>
      <c r="BU29" s="315"/>
      <c r="BV29" s="315"/>
      <c r="BW29" s="315"/>
      <c r="BX29" s="315"/>
      <c r="BY29" s="315"/>
      <c r="BZ29" s="315"/>
      <c r="CA29" s="315"/>
      <c r="CB29" s="315"/>
      <c r="CC29" s="315"/>
      <c r="CD29" s="315"/>
      <c r="CE29" s="315"/>
      <c r="CF29" s="315"/>
      <c r="CG29" s="315"/>
      <c r="CH29" s="315"/>
      <c r="CI29" s="315"/>
      <c r="CJ29" s="315"/>
      <c r="CK29" s="315"/>
      <c r="CL29" s="315"/>
      <c r="CM29" s="315"/>
      <c r="CN29" s="315"/>
      <c r="CO29" s="315"/>
      <c r="CP29" s="315"/>
      <c r="CQ29" s="315"/>
      <c r="CR29" s="315"/>
      <c r="CS29" s="315"/>
      <c r="CT29" s="315"/>
      <c r="CU29" s="315"/>
      <c r="CV29" s="315"/>
      <c r="CW29" s="315"/>
      <c r="CX29" s="315"/>
      <c r="CY29" s="315"/>
      <c r="CZ29" s="315"/>
      <c r="DA29" s="315"/>
      <c r="DB29" s="315"/>
      <c r="DC29" s="315"/>
      <c r="DD29" s="315"/>
      <c r="DE29" s="315"/>
      <c r="DF29" s="315"/>
      <c r="DG29" s="315"/>
      <c r="DH29" s="315"/>
      <c r="DI29" s="315"/>
      <c r="DJ29" s="315"/>
      <c r="DK29" s="315"/>
      <c r="DL29" s="315"/>
      <c r="DM29" s="315"/>
      <c r="DN29" s="315"/>
      <c r="DO29" s="315"/>
      <c r="DP29" s="315"/>
      <c r="DQ29" s="315"/>
      <c r="DR29" s="315"/>
      <c r="DS29" s="315"/>
      <c r="DT29" s="315"/>
      <c r="DU29" s="315"/>
      <c r="DV29" s="315"/>
      <c r="DW29" s="315"/>
      <c r="DX29" s="315"/>
      <c r="DY29" s="315"/>
      <c r="DZ29" s="315"/>
      <c r="EA29" s="315"/>
      <c r="EB29" s="315"/>
      <c r="EC29" s="315"/>
      <c r="ED29" s="315"/>
      <c r="EE29" s="315"/>
      <c r="EF29" s="315"/>
      <c r="EG29" s="315"/>
      <c r="EH29" s="315"/>
      <c r="EI29" s="315"/>
      <c r="EJ29" s="315"/>
      <c r="EK29" s="315"/>
      <c r="EL29" s="315"/>
      <c r="EM29" s="315"/>
      <c r="EN29" s="315"/>
      <c r="EO29" s="315"/>
      <c r="EP29" s="315"/>
      <c r="EQ29" s="315"/>
      <c r="ER29" s="315"/>
      <c r="ES29" s="315"/>
      <c r="ET29" s="315"/>
      <c r="EU29" s="315"/>
      <c r="EV29" s="315"/>
      <c r="EW29" s="315"/>
      <c r="EX29" s="315"/>
      <c r="EY29" s="315"/>
      <c r="EZ29" s="315"/>
      <c r="FA29" s="315"/>
      <c r="FB29" s="315"/>
      <c r="FC29" s="315"/>
      <c r="FD29" s="315"/>
      <c r="FE29" s="315"/>
      <c r="FF29" s="315"/>
      <c r="FG29" s="315"/>
      <c r="FH29" s="315"/>
      <c r="FI29" s="315"/>
      <c r="FJ29" s="315"/>
      <c r="FK29" s="315"/>
      <c r="FL29" s="315"/>
      <c r="FM29" s="315"/>
      <c r="FN29" s="315"/>
      <c r="FO29" s="315"/>
      <c r="FP29" s="315"/>
      <c r="FQ29" s="315"/>
      <c r="FR29" s="315"/>
      <c r="FS29" s="315"/>
      <c r="FT29" s="315"/>
      <c r="FU29" s="315"/>
      <c r="FV29" s="315"/>
      <c r="FW29" s="315"/>
      <c r="FX29" s="315"/>
      <c r="FY29" s="315"/>
      <c r="FZ29" s="315"/>
      <c r="GA29" s="315"/>
      <c r="GB29" s="315"/>
      <c r="GC29" s="315"/>
      <c r="GD29" s="315"/>
      <c r="GE29" s="315"/>
      <c r="GF29" s="315"/>
      <c r="GG29" s="315"/>
      <c r="GH29" s="315"/>
      <c r="GI29" s="315"/>
      <c r="GJ29" s="315"/>
      <c r="GK29" s="315"/>
      <c r="GL29" s="315"/>
      <c r="GM29" s="315"/>
      <c r="GN29" s="315"/>
      <c r="GO29" s="315"/>
      <c r="GP29" s="315"/>
      <c r="GQ29" s="315"/>
      <c r="GR29" s="315"/>
      <c r="GS29" s="315"/>
      <c r="GT29" s="315"/>
      <c r="GU29" s="315"/>
      <c r="GV29" s="315"/>
      <c r="GW29" s="315"/>
      <c r="GX29" s="315"/>
      <c r="GY29" s="315"/>
      <c r="GZ29" s="315"/>
      <c r="HA29" s="315"/>
      <c r="HB29" s="315"/>
      <c r="HC29" s="315"/>
      <c r="HD29" s="315"/>
      <c r="HE29" s="315"/>
      <c r="HF29" s="315"/>
      <c r="HG29" s="315"/>
      <c r="HH29" s="315"/>
      <c r="HI29" s="315"/>
      <c r="HJ29" s="315"/>
      <c r="HK29" s="315"/>
      <c r="HL29" s="315"/>
      <c r="HM29" s="315"/>
      <c r="HN29" s="315"/>
      <c r="HO29" s="315"/>
      <c r="HP29" s="315"/>
      <c r="HQ29" s="315"/>
      <c r="HR29" s="315"/>
      <c r="HS29" s="315"/>
      <c r="HT29" s="315"/>
      <c r="HU29" s="315"/>
      <c r="HV29" s="315"/>
      <c r="HW29" s="315"/>
      <c r="HX29" s="315"/>
      <c r="HY29" s="315"/>
      <c r="HZ29" s="315"/>
      <c r="IA29" s="315"/>
      <c r="IB29" s="315"/>
      <c r="IC29" s="315"/>
      <c r="ID29" s="315"/>
      <c r="IE29" s="315"/>
      <c r="IF29" s="315"/>
      <c r="IG29" s="315"/>
      <c r="IH29" s="315"/>
      <c r="II29" s="315"/>
      <c r="IJ29" s="315"/>
      <c r="IK29" s="315"/>
      <c r="IL29" s="315"/>
      <c r="IM29" s="315"/>
      <c r="IN29" s="315"/>
      <c r="IO29" s="315"/>
      <c r="IP29" s="315"/>
      <c r="IQ29" s="315"/>
      <c r="IR29" s="315"/>
    </row>
    <row r="30" spans="1:252" ht="15">
      <c r="A30" s="292"/>
      <c r="B30" s="316" t="str">
        <f>'Balance Sheet Ann'!E15</f>
        <v>Creditors</v>
      </c>
      <c r="C30" s="292"/>
      <c r="D30" s="321">
        <f ca="1">'Balance Sheet Ann'!J15</f>
        <v>692999.99999999977</v>
      </c>
      <c r="E30" s="321">
        <f ca="1">'Balance Sheet Ann'!K15</f>
        <v>1732499.9999999998</v>
      </c>
      <c r="F30" s="321">
        <f ca="1">'Balance Sheet Ann'!L15</f>
        <v>4536000</v>
      </c>
      <c r="G30" s="321">
        <f ca="1">'Balance Sheet Ann'!M15</f>
        <v>9124500</v>
      </c>
      <c r="H30" s="321">
        <f ca="1">'Balance Sheet Ann'!N15</f>
        <v>18606000</v>
      </c>
      <c r="I30" s="292"/>
      <c r="J30" s="292"/>
      <c r="K30" s="315"/>
      <c r="L30" s="315"/>
      <c r="M30" s="315"/>
      <c r="N30" s="315"/>
      <c r="O30" s="315"/>
      <c r="P30" s="315"/>
      <c r="Q30" s="315"/>
      <c r="R30" s="315"/>
      <c r="S30" s="315"/>
      <c r="T30" s="315"/>
      <c r="U30" s="315"/>
      <c r="V30" s="315"/>
      <c r="W30" s="315"/>
      <c r="X30" s="315"/>
      <c r="Y30" s="315"/>
      <c r="Z30" s="315"/>
      <c r="AA30" s="315"/>
      <c r="AB30" s="315"/>
      <c r="AC30" s="315"/>
      <c r="AD30" s="315"/>
      <c r="AE30" s="315"/>
      <c r="AF30" s="315"/>
      <c r="AG30" s="315"/>
      <c r="AH30" s="315"/>
      <c r="AI30" s="315"/>
      <c r="AJ30" s="315"/>
      <c r="AK30" s="315"/>
      <c r="AL30" s="315"/>
      <c r="AM30" s="315"/>
      <c r="AN30" s="315"/>
      <c r="AO30" s="315"/>
      <c r="AP30" s="315"/>
      <c r="AQ30" s="315"/>
      <c r="AR30" s="315"/>
      <c r="AS30" s="315"/>
      <c r="AT30" s="315"/>
      <c r="AU30" s="315"/>
      <c r="AV30" s="315"/>
      <c r="AW30" s="315"/>
      <c r="AX30" s="315"/>
      <c r="AY30" s="315"/>
      <c r="AZ30" s="315"/>
      <c r="BA30" s="315"/>
      <c r="BB30" s="315"/>
      <c r="BC30" s="315"/>
      <c r="BD30" s="315"/>
      <c r="BE30" s="315"/>
      <c r="BF30" s="315"/>
      <c r="BG30" s="315"/>
      <c r="BH30" s="315"/>
      <c r="BI30" s="315"/>
      <c r="BJ30" s="315"/>
      <c r="BK30" s="315"/>
      <c r="BL30" s="315"/>
      <c r="BM30" s="315"/>
      <c r="BN30" s="315"/>
      <c r="BO30" s="315"/>
      <c r="BP30" s="315"/>
      <c r="BQ30" s="315"/>
      <c r="BR30" s="315"/>
      <c r="BS30" s="315"/>
      <c r="BT30" s="315"/>
      <c r="BU30" s="315"/>
      <c r="BV30" s="315"/>
      <c r="BW30" s="315"/>
      <c r="BX30" s="315"/>
      <c r="BY30" s="315"/>
      <c r="BZ30" s="315"/>
      <c r="CA30" s="315"/>
      <c r="CB30" s="315"/>
      <c r="CC30" s="315"/>
      <c r="CD30" s="315"/>
      <c r="CE30" s="315"/>
      <c r="CF30" s="315"/>
      <c r="CG30" s="315"/>
      <c r="CH30" s="315"/>
      <c r="CI30" s="315"/>
      <c r="CJ30" s="315"/>
      <c r="CK30" s="315"/>
      <c r="CL30" s="315"/>
      <c r="CM30" s="315"/>
      <c r="CN30" s="315"/>
      <c r="CO30" s="315"/>
      <c r="CP30" s="315"/>
      <c r="CQ30" s="315"/>
      <c r="CR30" s="315"/>
      <c r="CS30" s="315"/>
      <c r="CT30" s="315"/>
      <c r="CU30" s="315"/>
      <c r="CV30" s="315"/>
      <c r="CW30" s="315"/>
      <c r="CX30" s="315"/>
      <c r="CY30" s="315"/>
      <c r="CZ30" s="315"/>
      <c r="DA30" s="315"/>
      <c r="DB30" s="315"/>
      <c r="DC30" s="315"/>
      <c r="DD30" s="315"/>
      <c r="DE30" s="315"/>
      <c r="DF30" s="315"/>
      <c r="DG30" s="315"/>
      <c r="DH30" s="315"/>
      <c r="DI30" s="315"/>
      <c r="DJ30" s="315"/>
      <c r="DK30" s="315"/>
      <c r="DL30" s="315"/>
      <c r="DM30" s="315"/>
      <c r="DN30" s="315"/>
      <c r="DO30" s="315"/>
      <c r="DP30" s="315"/>
      <c r="DQ30" s="315"/>
      <c r="DR30" s="315"/>
      <c r="DS30" s="315"/>
      <c r="DT30" s="315"/>
      <c r="DU30" s="315"/>
      <c r="DV30" s="315"/>
      <c r="DW30" s="315"/>
      <c r="DX30" s="315"/>
      <c r="DY30" s="315"/>
      <c r="DZ30" s="315"/>
      <c r="EA30" s="315"/>
      <c r="EB30" s="315"/>
      <c r="EC30" s="315"/>
      <c r="ED30" s="315"/>
      <c r="EE30" s="315"/>
      <c r="EF30" s="315"/>
      <c r="EG30" s="315"/>
      <c r="EH30" s="315"/>
      <c r="EI30" s="315"/>
      <c r="EJ30" s="315"/>
      <c r="EK30" s="315"/>
      <c r="EL30" s="315"/>
      <c r="EM30" s="315"/>
      <c r="EN30" s="315"/>
      <c r="EO30" s="315"/>
      <c r="EP30" s="315"/>
      <c r="EQ30" s="315"/>
      <c r="ER30" s="315"/>
      <c r="ES30" s="315"/>
      <c r="ET30" s="315"/>
      <c r="EU30" s="315"/>
      <c r="EV30" s="315"/>
      <c r="EW30" s="315"/>
      <c r="EX30" s="315"/>
      <c r="EY30" s="315"/>
      <c r="EZ30" s="315"/>
      <c r="FA30" s="315"/>
      <c r="FB30" s="315"/>
      <c r="FC30" s="315"/>
      <c r="FD30" s="315"/>
      <c r="FE30" s="315"/>
      <c r="FF30" s="315"/>
      <c r="FG30" s="315"/>
      <c r="FH30" s="315"/>
      <c r="FI30" s="315"/>
      <c r="FJ30" s="315"/>
      <c r="FK30" s="315"/>
      <c r="FL30" s="315"/>
      <c r="FM30" s="315"/>
      <c r="FN30" s="315"/>
      <c r="FO30" s="315"/>
      <c r="FP30" s="315"/>
      <c r="FQ30" s="315"/>
      <c r="FR30" s="315"/>
      <c r="FS30" s="315"/>
      <c r="FT30" s="315"/>
      <c r="FU30" s="315"/>
      <c r="FV30" s="315"/>
      <c r="FW30" s="315"/>
      <c r="FX30" s="315"/>
      <c r="FY30" s="315"/>
      <c r="FZ30" s="315"/>
      <c r="GA30" s="315"/>
      <c r="GB30" s="315"/>
      <c r="GC30" s="315"/>
      <c r="GD30" s="315"/>
      <c r="GE30" s="315"/>
      <c r="GF30" s="315"/>
      <c r="GG30" s="315"/>
      <c r="GH30" s="315"/>
      <c r="GI30" s="315"/>
      <c r="GJ30" s="315"/>
      <c r="GK30" s="315"/>
      <c r="GL30" s="315"/>
      <c r="GM30" s="315"/>
      <c r="GN30" s="315"/>
      <c r="GO30" s="315"/>
      <c r="GP30" s="315"/>
      <c r="GQ30" s="315"/>
      <c r="GR30" s="315"/>
      <c r="GS30" s="315"/>
      <c r="GT30" s="315"/>
      <c r="GU30" s="315"/>
      <c r="GV30" s="315"/>
      <c r="GW30" s="315"/>
      <c r="GX30" s="315"/>
      <c r="GY30" s="315"/>
      <c r="GZ30" s="315"/>
      <c r="HA30" s="315"/>
      <c r="HB30" s="315"/>
      <c r="HC30" s="315"/>
      <c r="HD30" s="315"/>
      <c r="HE30" s="315"/>
      <c r="HF30" s="315"/>
      <c r="HG30" s="315"/>
      <c r="HH30" s="315"/>
      <c r="HI30" s="315"/>
      <c r="HJ30" s="315"/>
      <c r="HK30" s="315"/>
      <c r="HL30" s="315"/>
      <c r="HM30" s="315"/>
      <c r="HN30" s="315"/>
      <c r="HO30" s="315"/>
      <c r="HP30" s="315"/>
      <c r="HQ30" s="315"/>
      <c r="HR30" s="315"/>
      <c r="HS30" s="315"/>
      <c r="HT30" s="315"/>
      <c r="HU30" s="315"/>
      <c r="HV30" s="315"/>
      <c r="HW30" s="315"/>
      <c r="HX30" s="315"/>
      <c r="HY30" s="315"/>
      <c r="HZ30" s="315"/>
      <c r="IA30" s="315"/>
      <c r="IB30" s="315"/>
      <c r="IC30" s="315"/>
      <c r="ID30" s="315"/>
      <c r="IE30" s="315"/>
      <c r="IF30" s="315"/>
      <c r="IG30" s="315"/>
      <c r="IH30" s="315"/>
      <c r="II30" s="315"/>
      <c r="IJ30" s="315"/>
      <c r="IK30" s="315"/>
      <c r="IL30" s="315"/>
      <c r="IM30" s="315"/>
      <c r="IN30" s="315"/>
      <c r="IO30" s="315"/>
      <c r="IP30" s="315"/>
      <c r="IQ30" s="315"/>
      <c r="IR30" s="315"/>
    </row>
    <row r="31" spans="1:252" ht="15">
      <c r="A31" s="292"/>
      <c r="B31" s="316" t="str">
        <f>'Balance Sheet Ann'!E16</f>
        <v>Supply Chain Finance balance</v>
      </c>
      <c r="C31" s="292"/>
      <c r="D31" s="321">
        <f ca="1">'Balance Sheet Ann'!J16</f>
        <v>0</v>
      </c>
      <c r="E31" s="321">
        <f ca="1">'Balance Sheet Ann'!K16</f>
        <v>0</v>
      </c>
      <c r="F31" s="321">
        <f ca="1">'Balance Sheet Ann'!L16</f>
        <v>0</v>
      </c>
      <c r="G31" s="321">
        <f ca="1">'Balance Sheet Ann'!M16</f>
        <v>0</v>
      </c>
      <c r="H31" s="321">
        <f ca="1">'Balance Sheet Ann'!N16</f>
        <v>0</v>
      </c>
      <c r="I31" s="292"/>
      <c r="J31" s="292"/>
      <c r="K31" s="315"/>
      <c r="L31" s="315"/>
      <c r="M31" s="315"/>
      <c r="N31" s="315"/>
      <c r="O31" s="315"/>
      <c r="P31" s="315"/>
      <c r="Q31" s="315"/>
      <c r="R31" s="315"/>
      <c r="S31" s="315"/>
      <c r="T31" s="315"/>
      <c r="U31" s="315"/>
      <c r="V31" s="315"/>
      <c r="W31" s="315"/>
      <c r="X31" s="315"/>
      <c r="Y31" s="315"/>
      <c r="Z31" s="315"/>
      <c r="AA31" s="315"/>
      <c r="AB31" s="315"/>
      <c r="AC31" s="315"/>
      <c r="AD31" s="315"/>
      <c r="AE31" s="315"/>
      <c r="AF31" s="315"/>
      <c r="AG31" s="315"/>
      <c r="AH31" s="315"/>
      <c r="AI31" s="315"/>
      <c r="AJ31" s="315"/>
      <c r="AK31" s="315"/>
      <c r="AL31" s="315"/>
      <c r="AM31" s="315"/>
      <c r="AN31" s="315"/>
      <c r="AO31" s="315"/>
      <c r="AP31" s="315"/>
      <c r="AQ31" s="315"/>
      <c r="AR31" s="315"/>
      <c r="AS31" s="315"/>
      <c r="AT31" s="315"/>
      <c r="AU31" s="315"/>
      <c r="AV31" s="315"/>
      <c r="AW31" s="315"/>
      <c r="AX31" s="315"/>
      <c r="AY31" s="315"/>
      <c r="AZ31" s="315"/>
      <c r="BA31" s="315"/>
      <c r="BB31" s="315"/>
      <c r="BC31" s="315"/>
      <c r="BD31" s="315"/>
      <c r="BE31" s="315"/>
      <c r="BF31" s="315"/>
      <c r="BG31" s="315"/>
      <c r="BH31" s="315"/>
      <c r="BI31" s="315"/>
      <c r="BJ31" s="315"/>
      <c r="BK31" s="315"/>
      <c r="BL31" s="315"/>
      <c r="BM31" s="315"/>
      <c r="BN31" s="315"/>
      <c r="BO31" s="315"/>
      <c r="BP31" s="315"/>
      <c r="BQ31" s="315"/>
      <c r="BR31" s="315"/>
      <c r="BS31" s="315"/>
      <c r="BT31" s="315"/>
      <c r="BU31" s="315"/>
      <c r="BV31" s="315"/>
      <c r="BW31" s="315"/>
      <c r="BX31" s="315"/>
      <c r="BY31" s="315"/>
      <c r="BZ31" s="315"/>
      <c r="CA31" s="315"/>
      <c r="CB31" s="315"/>
      <c r="CC31" s="315"/>
      <c r="CD31" s="315"/>
      <c r="CE31" s="315"/>
      <c r="CF31" s="315"/>
      <c r="CG31" s="315"/>
      <c r="CH31" s="315"/>
      <c r="CI31" s="315"/>
      <c r="CJ31" s="315"/>
      <c r="CK31" s="315"/>
      <c r="CL31" s="315"/>
      <c r="CM31" s="315"/>
      <c r="CN31" s="315"/>
      <c r="CO31" s="315"/>
      <c r="CP31" s="315"/>
      <c r="CQ31" s="315"/>
      <c r="CR31" s="315"/>
      <c r="CS31" s="315"/>
      <c r="CT31" s="315"/>
      <c r="CU31" s="315"/>
      <c r="CV31" s="315"/>
      <c r="CW31" s="315"/>
      <c r="CX31" s="315"/>
      <c r="CY31" s="315"/>
      <c r="CZ31" s="315"/>
      <c r="DA31" s="315"/>
      <c r="DB31" s="315"/>
      <c r="DC31" s="315"/>
      <c r="DD31" s="315"/>
      <c r="DE31" s="315"/>
      <c r="DF31" s="315"/>
      <c r="DG31" s="315"/>
      <c r="DH31" s="315"/>
      <c r="DI31" s="315"/>
      <c r="DJ31" s="315"/>
      <c r="DK31" s="315"/>
      <c r="DL31" s="315"/>
      <c r="DM31" s="315"/>
      <c r="DN31" s="315"/>
      <c r="DO31" s="315"/>
      <c r="DP31" s="315"/>
      <c r="DQ31" s="315"/>
      <c r="DR31" s="315"/>
      <c r="DS31" s="315"/>
      <c r="DT31" s="315"/>
      <c r="DU31" s="315"/>
      <c r="DV31" s="315"/>
      <c r="DW31" s="315"/>
      <c r="DX31" s="315"/>
      <c r="DY31" s="315"/>
      <c r="DZ31" s="315"/>
      <c r="EA31" s="315"/>
      <c r="EB31" s="315"/>
      <c r="EC31" s="315"/>
      <c r="ED31" s="315"/>
      <c r="EE31" s="315"/>
      <c r="EF31" s="315"/>
      <c r="EG31" s="315"/>
      <c r="EH31" s="315"/>
      <c r="EI31" s="315"/>
      <c r="EJ31" s="315"/>
      <c r="EK31" s="315"/>
      <c r="EL31" s="315"/>
      <c r="EM31" s="315"/>
      <c r="EN31" s="315"/>
      <c r="EO31" s="315"/>
      <c r="EP31" s="315"/>
      <c r="EQ31" s="315"/>
      <c r="ER31" s="315"/>
      <c r="ES31" s="315"/>
      <c r="ET31" s="315"/>
      <c r="EU31" s="315"/>
      <c r="EV31" s="315"/>
      <c r="EW31" s="315"/>
      <c r="EX31" s="315"/>
      <c r="EY31" s="315"/>
      <c r="EZ31" s="315"/>
      <c r="FA31" s="315"/>
      <c r="FB31" s="315"/>
      <c r="FC31" s="315"/>
      <c r="FD31" s="315"/>
      <c r="FE31" s="315"/>
      <c r="FF31" s="315"/>
      <c r="FG31" s="315"/>
      <c r="FH31" s="315"/>
      <c r="FI31" s="315"/>
      <c r="FJ31" s="315"/>
      <c r="FK31" s="315"/>
      <c r="FL31" s="315"/>
      <c r="FM31" s="315"/>
      <c r="FN31" s="315"/>
      <c r="FO31" s="315"/>
      <c r="FP31" s="315"/>
      <c r="FQ31" s="315"/>
      <c r="FR31" s="315"/>
      <c r="FS31" s="315"/>
      <c r="FT31" s="315"/>
      <c r="FU31" s="315"/>
      <c r="FV31" s="315"/>
      <c r="FW31" s="315"/>
      <c r="FX31" s="315"/>
      <c r="FY31" s="315"/>
      <c r="FZ31" s="315"/>
      <c r="GA31" s="315"/>
      <c r="GB31" s="315"/>
      <c r="GC31" s="315"/>
      <c r="GD31" s="315"/>
      <c r="GE31" s="315"/>
      <c r="GF31" s="315"/>
      <c r="GG31" s="315"/>
      <c r="GH31" s="315"/>
      <c r="GI31" s="315"/>
      <c r="GJ31" s="315"/>
      <c r="GK31" s="315"/>
      <c r="GL31" s="315"/>
      <c r="GM31" s="315"/>
      <c r="GN31" s="315"/>
      <c r="GO31" s="315"/>
      <c r="GP31" s="315"/>
      <c r="GQ31" s="315"/>
      <c r="GR31" s="315"/>
      <c r="GS31" s="315"/>
      <c r="GT31" s="315"/>
      <c r="GU31" s="315"/>
      <c r="GV31" s="315"/>
      <c r="GW31" s="315"/>
      <c r="GX31" s="315"/>
      <c r="GY31" s="315"/>
      <c r="GZ31" s="315"/>
      <c r="HA31" s="315"/>
      <c r="HB31" s="315"/>
      <c r="HC31" s="315"/>
      <c r="HD31" s="315"/>
      <c r="HE31" s="315"/>
      <c r="HF31" s="315"/>
      <c r="HG31" s="315"/>
      <c r="HH31" s="315"/>
      <c r="HI31" s="315"/>
      <c r="HJ31" s="315"/>
      <c r="HK31" s="315"/>
      <c r="HL31" s="315"/>
      <c r="HM31" s="315"/>
      <c r="HN31" s="315"/>
      <c r="HO31" s="315"/>
      <c r="HP31" s="315"/>
      <c r="HQ31" s="315"/>
      <c r="HR31" s="315"/>
      <c r="HS31" s="315"/>
      <c r="HT31" s="315"/>
      <c r="HU31" s="315"/>
      <c r="HV31" s="315"/>
      <c r="HW31" s="315"/>
      <c r="HX31" s="315"/>
      <c r="HY31" s="315"/>
      <c r="HZ31" s="315"/>
      <c r="IA31" s="315"/>
      <c r="IB31" s="315"/>
      <c r="IC31" s="315"/>
      <c r="ID31" s="315"/>
      <c r="IE31" s="315"/>
      <c r="IF31" s="315"/>
      <c r="IG31" s="315"/>
      <c r="IH31" s="315"/>
      <c r="II31" s="315"/>
      <c r="IJ31" s="315"/>
      <c r="IK31" s="315"/>
      <c r="IL31" s="315"/>
      <c r="IM31" s="315"/>
      <c r="IN31" s="315"/>
      <c r="IO31" s="315"/>
      <c r="IP31" s="315"/>
      <c r="IQ31" s="315"/>
      <c r="IR31" s="315"/>
    </row>
    <row r="32" spans="1:252" s="326" customFormat="1" ht="14.5">
      <c r="A32" s="316"/>
      <c r="B32" s="316" t="str">
        <f>'Balance Sheet Ann'!E17</f>
        <v>Invoice finance balance</v>
      </c>
      <c r="C32" s="292"/>
      <c r="D32" s="321">
        <f ca="1">'Balance Sheet Ann'!J17</f>
        <v>0</v>
      </c>
      <c r="E32" s="321">
        <f ca="1">'Balance Sheet Ann'!K17</f>
        <v>0</v>
      </c>
      <c r="F32" s="321">
        <f ca="1">'Balance Sheet Ann'!L17</f>
        <v>0</v>
      </c>
      <c r="G32" s="321">
        <f ca="1">'Balance Sheet Ann'!M17</f>
        <v>0</v>
      </c>
      <c r="H32" s="321">
        <f ca="1">'Balance Sheet Ann'!N17</f>
        <v>0</v>
      </c>
      <c r="I32" s="316"/>
      <c r="J32" s="316"/>
      <c r="K32" s="316"/>
      <c r="L32" s="325"/>
      <c r="M32" s="325"/>
      <c r="N32" s="325"/>
      <c r="O32" s="325"/>
      <c r="P32" s="325"/>
      <c r="Q32" s="325"/>
      <c r="R32" s="325"/>
      <c r="S32" s="325"/>
      <c r="T32" s="325"/>
      <c r="U32" s="325"/>
      <c r="V32" s="325"/>
      <c r="W32" s="325"/>
      <c r="X32" s="325"/>
      <c r="Y32" s="325"/>
      <c r="Z32" s="325"/>
      <c r="AA32" s="325"/>
      <c r="AB32" s="325"/>
      <c r="AC32" s="325"/>
      <c r="AD32" s="325"/>
      <c r="AE32" s="325"/>
      <c r="AF32" s="325"/>
      <c r="AG32" s="325"/>
      <c r="AH32" s="325"/>
      <c r="AI32" s="325"/>
      <c r="AJ32" s="325"/>
      <c r="AK32" s="325"/>
      <c r="AL32" s="325"/>
      <c r="AM32" s="325"/>
      <c r="AN32" s="325"/>
      <c r="AO32" s="325"/>
      <c r="AP32" s="325"/>
      <c r="AQ32" s="325"/>
      <c r="AR32" s="325"/>
      <c r="AS32" s="325"/>
      <c r="AT32" s="325"/>
      <c r="AU32" s="325"/>
      <c r="AV32" s="325"/>
      <c r="AW32" s="325"/>
      <c r="AX32" s="325"/>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5"/>
      <c r="BZ32" s="325"/>
      <c r="CA32" s="325"/>
      <c r="CB32" s="325"/>
      <c r="CC32" s="325"/>
      <c r="CD32" s="325"/>
      <c r="CE32" s="325"/>
      <c r="CF32" s="325"/>
      <c r="CG32" s="325"/>
      <c r="CH32" s="325"/>
      <c r="CI32" s="325"/>
      <c r="CJ32" s="325"/>
      <c r="CK32" s="325"/>
      <c r="CL32" s="325"/>
      <c r="CM32" s="325"/>
      <c r="CN32" s="325"/>
      <c r="CO32" s="325"/>
      <c r="CP32" s="325"/>
      <c r="CQ32" s="325"/>
      <c r="CR32" s="325"/>
      <c r="CS32" s="325"/>
      <c r="CT32" s="325"/>
      <c r="CU32" s="325"/>
      <c r="CV32" s="325"/>
      <c r="CW32" s="325"/>
      <c r="CX32" s="325"/>
      <c r="CY32" s="325"/>
      <c r="CZ32" s="325"/>
      <c r="DA32" s="325"/>
      <c r="DB32" s="325"/>
      <c r="DC32" s="325"/>
      <c r="DD32" s="325"/>
      <c r="DE32" s="325"/>
      <c r="DF32" s="325"/>
      <c r="DG32" s="325"/>
      <c r="DH32" s="325"/>
      <c r="DI32" s="325"/>
      <c r="DJ32" s="325"/>
      <c r="DK32" s="325"/>
      <c r="DL32" s="325"/>
      <c r="DM32" s="325"/>
      <c r="DN32" s="325"/>
      <c r="DO32" s="325"/>
      <c r="DP32" s="325"/>
      <c r="DQ32" s="325"/>
      <c r="DR32" s="325"/>
      <c r="DS32" s="325"/>
      <c r="DT32" s="325"/>
      <c r="DU32" s="325"/>
      <c r="DV32" s="325"/>
      <c r="DW32" s="325"/>
      <c r="DX32" s="325"/>
      <c r="DY32" s="325"/>
      <c r="DZ32" s="325"/>
      <c r="EA32" s="325"/>
      <c r="EB32" s="325"/>
      <c r="EC32" s="325"/>
      <c r="ED32" s="325"/>
      <c r="EE32" s="325"/>
      <c r="EF32" s="325"/>
      <c r="EG32" s="325"/>
      <c r="EH32" s="325"/>
      <c r="EI32" s="325"/>
      <c r="EJ32" s="325"/>
      <c r="EK32" s="325"/>
      <c r="EL32" s="325"/>
      <c r="EM32" s="325"/>
      <c r="EN32" s="325"/>
      <c r="EO32" s="325"/>
      <c r="EP32" s="325"/>
      <c r="EQ32" s="325"/>
      <c r="ER32" s="325"/>
      <c r="ES32" s="325"/>
      <c r="ET32" s="325"/>
      <c r="EU32" s="325"/>
      <c r="EV32" s="325"/>
      <c r="EW32" s="325"/>
      <c r="EX32" s="325"/>
      <c r="EY32" s="325"/>
      <c r="EZ32" s="325"/>
      <c r="FA32" s="325"/>
      <c r="FB32" s="325"/>
      <c r="FC32" s="325"/>
      <c r="FD32" s="325"/>
      <c r="FE32" s="325"/>
      <c r="FF32" s="325"/>
      <c r="FG32" s="325"/>
      <c r="FH32" s="325"/>
      <c r="FI32" s="325"/>
      <c r="FJ32" s="325"/>
      <c r="FK32" s="325"/>
      <c r="FL32" s="325"/>
      <c r="FM32" s="325"/>
      <c r="FN32" s="325"/>
      <c r="FO32" s="325"/>
      <c r="FP32" s="325"/>
      <c r="FQ32" s="325"/>
      <c r="FR32" s="325"/>
      <c r="FS32" s="325"/>
      <c r="FT32" s="325"/>
      <c r="FU32" s="325"/>
      <c r="FV32" s="325"/>
      <c r="FW32" s="325"/>
      <c r="FX32" s="325"/>
      <c r="FY32" s="325"/>
      <c r="FZ32" s="325"/>
      <c r="GA32" s="325"/>
      <c r="GB32" s="325"/>
      <c r="GC32" s="325"/>
      <c r="GD32" s="325"/>
      <c r="GE32" s="325"/>
      <c r="GF32" s="325"/>
      <c r="GG32" s="325"/>
      <c r="GH32" s="325"/>
      <c r="GI32" s="325"/>
      <c r="GJ32" s="325"/>
      <c r="GK32" s="325"/>
      <c r="GL32" s="325"/>
      <c r="GM32" s="325"/>
      <c r="GN32" s="325"/>
      <c r="GO32" s="325"/>
      <c r="GP32" s="325"/>
      <c r="GQ32" s="325"/>
      <c r="GR32" s="325"/>
      <c r="GS32" s="325"/>
      <c r="GT32" s="325"/>
      <c r="GU32" s="325"/>
      <c r="GV32" s="325"/>
      <c r="GW32" s="325"/>
      <c r="GX32" s="325"/>
      <c r="GY32" s="325"/>
      <c r="GZ32" s="325"/>
      <c r="HA32" s="325"/>
      <c r="HB32" s="325"/>
      <c r="HC32" s="325"/>
      <c r="HD32" s="325"/>
      <c r="HE32" s="325"/>
      <c r="HF32" s="325"/>
      <c r="HG32" s="325"/>
      <c r="HH32" s="325"/>
      <c r="HI32" s="325"/>
      <c r="HJ32" s="325"/>
      <c r="HK32" s="325"/>
      <c r="HL32" s="325"/>
      <c r="HM32" s="325"/>
      <c r="HN32" s="325"/>
      <c r="HO32" s="325"/>
      <c r="HP32" s="325"/>
      <c r="HQ32" s="325"/>
      <c r="HR32" s="325"/>
      <c r="HS32" s="325"/>
      <c r="HT32" s="325"/>
      <c r="HU32" s="325"/>
      <c r="HV32" s="325"/>
      <c r="HW32" s="325"/>
      <c r="HX32" s="325"/>
      <c r="HY32" s="325"/>
      <c r="HZ32" s="325"/>
      <c r="IA32" s="325"/>
      <c r="IB32" s="325"/>
      <c r="IC32" s="325"/>
      <c r="ID32" s="325"/>
      <c r="IE32" s="325"/>
      <c r="IF32" s="325"/>
      <c r="IG32" s="325"/>
      <c r="IH32" s="325"/>
      <c r="II32" s="325"/>
      <c r="IJ32" s="325"/>
      <c r="IK32" s="325"/>
      <c r="IL32" s="325"/>
      <c r="IM32" s="325"/>
      <c r="IN32" s="325"/>
      <c r="IO32" s="325"/>
      <c r="IP32" s="325"/>
      <c r="IQ32" s="325"/>
      <c r="IR32" s="325"/>
    </row>
    <row r="33" spans="1:252" ht="15">
      <c r="A33" s="292"/>
      <c r="B33" s="316" t="str">
        <f>'Balance Sheet Ann'!E18</f>
        <v>Asset Finance balance</v>
      </c>
      <c r="C33" s="292"/>
      <c r="D33" s="321">
        <f ca="1">'Balance Sheet Ann'!J18</f>
        <v>0</v>
      </c>
      <c r="E33" s="321">
        <f ca="1">'Balance Sheet Ann'!K18</f>
        <v>0</v>
      </c>
      <c r="F33" s="321">
        <f ca="1">'Balance Sheet Ann'!L18</f>
        <v>0</v>
      </c>
      <c r="G33" s="321">
        <f ca="1">'Balance Sheet Ann'!M18</f>
        <v>0</v>
      </c>
      <c r="H33" s="321">
        <f ca="1">'Balance Sheet Ann'!N18</f>
        <v>0</v>
      </c>
      <c r="I33" s="292"/>
      <c r="J33" s="292"/>
      <c r="K33" s="315"/>
      <c r="L33" s="315"/>
      <c r="M33" s="315"/>
      <c r="N33" s="315"/>
      <c r="O33" s="315"/>
      <c r="P33" s="315"/>
      <c r="Q33" s="315"/>
      <c r="R33" s="315"/>
      <c r="S33" s="315"/>
      <c r="T33" s="315"/>
      <c r="U33" s="315"/>
      <c r="V33" s="315"/>
      <c r="W33" s="315"/>
      <c r="X33" s="315"/>
      <c r="Y33" s="315"/>
      <c r="Z33" s="315"/>
      <c r="AA33" s="315"/>
      <c r="AB33" s="315"/>
      <c r="AC33" s="315"/>
      <c r="AD33" s="315"/>
      <c r="AE33" s="315"/>
      <c r="AF33" s="315"/>
      <c r="AG33" s="315"/>
      <c r="AH33" s="315"/>
      <c r="AI33" s="315"/>
      <c r="AJ33" s="315"/>
      <c r="AK33" s="315"/>
      <c r="AL33" s="315"/>
      <c r="AM33" s="315"/>
      <c r="AN33" s="315"/>
      <c r="AO33" s="315"/>
      <c r="AP33" s="315"/>
      <c r="AQ33" s="315"/>
      <c r="AR33" s="315"/>
      <c r="AS33" s="315"/>
      <c r="AT33" s="315"/>
      <c r="AU33" s="315"/>
      <c r="AV33" s="315"/>
      <c r="AW33" s="315"/>
      <c r="AX33" s="315"/>
      <c r="AY33" s="315"/>
      <c r="AZ33" s="315"/>
      <c r="BA33" s="315"/>
      <c r="BB33" s="315"/>
      <c r="BC33" s="315"/>
      <c r="BD33" s="315"/>
      <c r="BE33" s="315"/>
      <c r="BF33" s="315"/>
      <c r="BG33" s="315"/>
      <c r="BH33" s="315"/>
      <c r="BI33" s="315"/>
      <c r="BJ33" s="315"/>
      <c r="BK33" s="315"/>
      <c r="BL33" s="315"/>
      <c r="BM33" s="315"/>
      <c r="BN33" s="315"/>
      <c r="BO33" s="315"/>
      <c r="BP33" s="315"/>
      <c r="BQ33" s="315"/>
      <c r="BR33" s="315"/>
      <c r="BS33" s="315"/>
      <c r="BT33" s="315"/>
      <c r="BU33" s="315"/>
      <c r="BV33" s="315"/>
      <c r="BW33" s="315"/>
      <c r="BX33" s="315"/>
      <c r="BY33" s="315"/>
      <c r="BZ33" s="315"/>
      <c r="CA33" s="315"/>
      <c r="CB33" s="315"/>
      <c r="CC33" s="315"/>
      <c r="CD33" s="315"/>
      <c r="CE33" s="315"/>
      <c r="CF33" s="315"/>
      <c r="CG33" s="315"/>
      <c r="CH33" s="315"/>
      <c r="CI33" s="315"/>
      <c r="CJ33" s="315"/>
      <c r="CK33" s="315"/>
      <c r="CL33" s="315"/>
      <c r="CM33" s="315"/>
      <c r="CN33" s="315"/>
      <c r="CO33" s="315"/>
      <c r="CP33" s="315"/>
      <c r="CQ33" s="315"/>
      <c r="CR33" s="315"/>
      <c r="CS33" s="315"/>
      <c r="CT33" s="315"/>
      <c r="CU33" s="315"/>
      <c r="CV33" s="315"/>
      <c r="CW33" s="315"/>
      <c r="CX33" s="315"/>
      <c r="CY33" s="315"/>
      <c r="CZ33" s="315"/>
      <c r="DA33" s="315"/>
      <c r="DB33" s="315"/>
      <c r="DC33" s="315"/>
      <c r="DD33" s="315"/>
      <c r="DE33" s="315"/>
      <c r="DF33" s="315"/>
      <c r="DG33" s="315"/>
      <c r="DH33" s="315"/>
      <c r="DI33" s="315"/>
      <c r="DJ33" s="315"/>
      <c r="DK33" s="315"/>
      <c r="DL33" s="315"/>
      <c r="DM33" s="315"/>
      <c r="DN33" s="315"/>
      <c r="DO33" s="315"/>
      <c r="DP33" s="315"/>
      <c r="DQ33" s="315"/>
      <c r="DR33" s="315"/>
      <c r="DS33" s="315"/>
      <c r="DT33" s="315"/>
      <c r="DU33" s="315"/>
      <c r="DV33" s="315"/>
      <c r="DW33" s="315"/>
      <c r="DX33" s="315"/>
      <c r="DY33" s="315"/>
      <c r="DZ33" s="315"/>
      <c r="EA33" s="315"/>
      <c r="EB33" s="315"/>
      <c r="EC33" s="315"/>
      <c r="ED33" s="315"/>
      <c r="EE33" s="315"/>
      <c r="EF33" s="315"/>
      <c r="EG33" s="315"/>
      <c r="EH33" s="315"/>
      <c r="EI33" s="315"/>
      <c r="EJ33" s="315"/>
      <c r="EK33" s="315"/>
      <c r="EL33" s="315"/>
      <c r="EM33" s="315"/>
      <c r="EN33" s="315"/>
      <c r="EO33" s="315"/>
      <c r="EP33" s="315"/>
      <c r="EQ33" s="315"/>
      <c r="ER33" s="315"/>
      <c r="ES33" s="315"/>
      <c r="ET33" s="315"/>
      <c r="EU33" s="315"/>
      <c r="EV33" s="315"/>
      <c r="EW33" s="315"/>
      <c r="EX33" s="315"/>
      <c r="EY33" s="315"/>
      <c r="EZ33" s="315"/>
      <c r="FA33" s="315"/>
      <c r="FB33" s="315"/>
      <c r="FC33" s="315"/>
      <c r="FD33" s="315"/>
      <c r="FE33" s="315"/>
      <c r="FF33" s="315"/>
      <c r="FG33" s="315"/>
      <c r="FH33" s="315"/>
      <c r="FI33" s="315"/>
      <c r="FJ33" s="315"/>
      <c r="FK33" s="315"/>
      <c r="FL33" s="315"/>
      <c r="FM33" s="315"/>
      <c r="FN33" s="315"/>
      <c r="FO33" s="315"/>
      <c r="FP33" s="315"/>
      <c r="FQ33" s="315"/>
      <c r="FR33" s="315"/>
      <c r="FS33" s="315"/>
      <c r="FT33" s="315"/>
      <c r="FU33" s="315"/>
      <c r="FV33" s="315"/>
      <c r="FW33" s="315"/>
      <c r="FX33" s="315"/>
      <c r="FY33" s="315"/>
      <c r="FZ33" s="315"/>
      <c r="GA33" s="315"/>
      <c r="GB33" s="315"/>
      <c r="GC33" s="315"/>
      <c r="GD33" s="315"/>
      <c r="GE33" s="315"/>
      <c r="GF33" s="315"/>
      <c r="GG33" s="315"/>
      <c r="GH33" s="315"/>
      <c r="GI33" s="315"/>
      <c r="GJ33" s="315"/>
      <c r="GK33" s="315"/>
      <c r="GL33" s="315"/>
      <c r="GM33" s="315"/>
      <c r="GN33" s="315"/>
      <c r="GO33" s="315"/>
      <c r="GP33" s="315"/>
      <c r="GQ33" s="315"/>
      <c r="GR33" s="315"/>
      <c r="GS33" s="315"/>
      <c r="GT33" s="315"/>
      <c r="GU33" s="315"/>
      <c r="GV33" s="315"/>
      <c r="GW33" s="315"/>
      <c r="GX33" s="315"/>
      <c r="GY33" s="315"/>
      <c r="GZ33" s="315"/>
      <c r="HA33" s="315"/>
      <c r="HB33" s="315"/>
      <c r="HC33" s="315"/>
      <c r="HD33" s="315"/>
      <c r="HE33" s="315"/>
      <c r="HF33" s="315"/>
      <c r="HG33" s="315"/>
      <c r="HH33" s="315"/>
      <c r="HI33" s="315"/>
      <c r="HJ33" s="315"/>
      <c r="HK33" s="315"/>
      <c r="HL33" s="315"/>
      <c r="HM33" s="315"/>
      <c r="HN33" s="315"/>
      <c r="HO33" s="315"/>
      <c r="HP33" s="315"/>
      <c r="HQ33" s="315"/>
      <c r="HR33" s="315"/>
      <c r="HS33" s="315"/>
      <c r="HT33" s="315"/>
      <c r="HU33" s="315"/>
      <c r="HV33" s="315"/>
      <c r="HW33" s="315"/>
      <c r="HX33" s="315"/>
      <c r="HY33" s="315"/>
      <c r="HZ33" s="315"/>
      <c r="IA33" s="315"/>
      <c r="IB33" s="315"/>
      <c r="IC33" s="315"/>
      <c r="ID33" s="315"/>
      <c r="IE33" s="315"/>
      <c r="IF33" s="315"/>
      <c r="IG33" s="315"/>
      <c r="IH33" s="315"/>
      <c r="II33" s="315"/>
      <c r="IJ33" s="315"/>
      <c r="IK33" s="315"/>
      <c r="IL33" s="315"/>
      <c r="IM33" s="315"/>
      <c r="IN33" s="315"/>
      <c r="IO33" s="315"/>
      <c r="IP33" s="315"/>
      <c r="IQ33" s="315"/>
      <c r="IR33" s="315"/>
    </row>
    <row r="34" spans="1:252" s="326" customFormat="1" ht="14.5">
      <c r="A34" s="316"/>
      <c r="B34" s="316" t="str">
        <f>'Balance Sheet Ann'!E19</f>
        <v>VAT balance</v>
      </c>
      <c r="C34" s="292"/>
      <c r="D34" s="321">
        <f ca="1">'Balance Sheet Ann'!J19</f>
        <v>-23686.826870344114</v>
      </c>
      <c r="E34" s="321">
        <f ca="1">'Balance Sheet Ann'!K19</f>
        <v>305044.1707389825</v>
      </c>
      <c r="F34" s="321">
        <f ca="1">'Balance Sheet Ann'!L19</f>
        <v>1398848.6756747691</v>
      </c>
      <c r="G34" s="321">
        <f ca="1">'Balance Sheet Ann'!M19</f>
        <v>3640623.6012510099</v>
      </c>
      <c r="H34" s="321">
        <f ca="1">'Balance Sheet Ann'!N19</f>
        <v>7284466.817497842</v>
      </c>
      <c r="I34" s="316"/>
      <c r="J34" s="316"/>
      <c r="K34" s="316"/>
      <c r="L34" s="325"/>
      <c r="M34" s="325"/>
      <c r="N34" s="325"/>
      <c r="O34" s="325"/>
      <c r="P34" s="325"/>
      <c r="Q34" s="325"/>
      <c r="R34" s="325"/>
      <c r="S34" s="325"/>
      <c r="T34" s="325"/>
      <c r="U34" s="325"/>
      <c r="V34" s="325"/>
      <c r="W34" s="325"/>
      <c r="X34" s="325"/>
      <c r="Y34" s="325"/>
      <c r="Z34" s="325"/>
      <c r="AA34" s="325"/>
      <c r="AB34" s="325"/>
      <c r="AC34" s="325"/>
      <c r="AD34" s="325"/>
      <c r="AE34" s="325"/>
      <c r="AF34" s="325"/>
      <c r="AG34" s="325"/>
      <c r="AH34" s="325"/>
      <c r="AI34" s="325"/>
      <c r="AJ34" s="325"/>
      <c r="AK34" s="325"/>
      <c r="AL34" s="325"/>
      <c r="AM34" s="325"/>
      <c r="AN34" s="325"/>
      <c r="AO34" s="325"/>
      <c r="AP34" s="325"/>
      <c r="AQ34" s="325"/>
      <c r="AR34" s="325"/>
      <c r="AS34" s="325"/>
      <c r="AT34" s="325"/>
      <c r="AU34" s="325"/>
      <c r="AV34" s="325"/>
      <c r="AW34" s="325"/>
      <c r="AX34" s="325"/>
      <c r="AY34" s="325"/>
      <c r="AZ34" s="325"/>
      <c r="BA34" s="325"/>
      <c r="BB34" s="325"/>
      <c r="BC34" s="325"/>
      <c r="BD34" s="325"/>
      <c r="BE34" s="325"/>
      <c r="BF34" s="325"/>
      <c r="BG34" s="325"/>
      <c r="BH34" s="325"/>
      <c r="BI34" s="325"/>
      <c r="BJ34" s="325"/>
      <c r="BK34" s="325"/>
      <c r="BL34" s="325"/>
      <c r="BM34" s="325"/>
      <c r="BN34" s="325"/>
      <c r="BO34" s="325"/>
      <c r="BP34" s="325"/>
      <c r="BQ34" s="325"/>
      <c r="BR34" s="325"/>
      <c r="BS34" s="325"/>
      <c r="BT34" s="325"/>
      <c r="BU34" s="325"/>
      <c r="BV34" s="325"/>
      <c r="BW34" s="325"/>
      <c r="BX34" s="325"/>
      <c r="BY34" s="325"/>
      <c r="BZ34" s="325"/>
      <c r="CA34" s="325"/>
      <c r="CB34" s="325"/>
      <c r="CC34" s="325"/>
      <c r="CD34" s="325"/>
      <c r="CE34" s="325"/>
      <c r="CF34" s="325"/>
      <c r="CG34" s="325"/>
      <c r="CH34" s="325"/>
      <c r="CI34" s="325"/>
      <c r="CJ34" s="325"/>
      <c r="CK34" s="325"/>
      <c r="CL34" s="325"/>
      <c r="CM34" s="325"/>
      <c r="CN34" s="325"/>
      <c r="CO34" s="325"/>
      <c r="CP34" s="325"/>
      <c r="CQ34" s="325"/>
      <c r="CR34" s="325"/>
      <c r="CS34" s="325"/>
      <c r="CT34" s="325"/>
      <c r="CU34" s="325"/>
      <c r="CV34" s="325"/>
      <c r="CW34" s="325"/>
      <c r="CX34" s="325"/>
      <c r="CY34" s="325"/>
      <c r="CZ34" s="325"/>
      <c r="DA34" s="325"/>
      <c r="DB34" s="325"/>
      <c r="DC34" s="325"/>
      <c r="DD34" s="325"/>
      <c r="DE34" s="325"/>
      <c r="DF34" s="325"/>
      <c r="DG34" s="325"/>
      <c r="DH34" s="325"/>
      <c r="DI34" s="325"/>
      <c r="DJ34" s="325"/>
      <c r="DK34" s="325"/>
      <c r="DL34" s="325"/>
      <c r="DM34" s="325"/>
      <c r="DN34" s="325"/>
      <c r="DO34" s="325"/>
      <c r="DP34" s="325"/>
      <c r="DQ34" s="325"/>
      <c r="DR34" s="325"/>
      <c r="DS34" s="325"/>
      <c r="DT34" s="325"/>
      <c r="DU34" s="325"/>
      <c r="DV34" s="325"/>
      <c r="DW34" s="325"/>
      <c r="DX34" s="325"/>
      <c r="DY34" s="325"/>
      <c r="DZ34" s="325"/>
      <c r="EA34" s="325"/>
      <c r="EB34" s="325"/>
      <c r="EC34" s="325"/>
      <c r="ED34" s="325"/>
      <c r="EE34" s="325"/>
      <c r="EF34" s="325"/>
      <c r="EG34" s="325"/>
      <c r="EH34" s="325"/>
      <c r="EI34" s="325"/>
      <c r="EJ34" s="325"/>
      <c r="EK34" s="325"/>
      <c r="EL34" s="325"/>
      <c r="EM34" s="325"/>
      <c r="EN34" s="325"/>
      <c r="EO34" s="325"/>
      <c r="EP34" s="325"/>
      <c r="EQ34" s="325"/>
      <c r="ER34" s="325"/>
      <c r="ES34" s="325"/>
      <c r="ET34" s="325"/>
      <c r="EU34" s="325"/>
      <c r="EV34" s="325"/>
      <c r="EW34" s="325"/>
      <c r="EX34" s="325"/>
      <c r="EY34" s="325"/>
      <c r="EZ34" s="325"/>
      <c r="FA34" s="325"/>
      <c r="FB34" s="325"/>
      <c r="FC34" s="325"/>
      <c r="FD34" s="325"/>
      <c r="FE34" s="325"/>
      <c r="FF34" s="325"/>
      <c r="FG34" s="325"/>
      <c r="FH34" s="325"/>
      <c r="FI34" s="325"/>
      <c r="FJ34" s="325"/>
      <c r="FK34" s="325"/>
      <c r="FL34" s="325"/>
      <c r="FM34" s="325"/>
      <c r="FN34" s="325"/>
      <c r="FO34" s="325"/>
      <c r="FP34" s="325"/>
      <c r="FQ34" s="325"/>
      <c r="FR34" s="325"/>
      <c r="FS34" s="325"/>
      <c r="FT34" s="325"/>
      <c r="FU34" s="325"/>
      <c r="FV34" s="325"/>
      <c r="FW34" s="325"/>
      <c r="FX34" s="325"/>
      <c r="FY34" s="325"/>
      <c r="FZ34" s="325"/>
      <c r="GA34" s="325"/>
      <c r="GB34" s="325"/>
      <c r="GC34" s="325"/>
      <c r="GD34" s="325"/>
      <c r="GE34" s="325"/>
      <c r="GF34" s="325"/>
      <c r="GG34" s="325"/>
      <c r="GH34" s="325"/>
      <c r="GI34" s="325"/>
      <c r="GJ34" s="325"/>
      <c r="GK34" s="325"/>
      <c r="GL34" s="325"/>
      <c r="GM34" s="325"/>
      <c r="GN34" s="325"/>
      <c r="GO34" s="325"/>
      <c r="GP34" s="325"/>
      <c r="GQ34" s="325"/>
      <c r="GR34" s="325"/>
      <c r="GS34" s="325"/>
      <c r="GT34" s="325"/>
      <c r="GU34" s="325"/>
      <c r="GV34" s="325"/>
      <c r="GW34" s="325"/>
      <c r="GX34" s="325"/>
      <c r="GY34" s="325"/>
      <c r="GZ34" s="325"/>
      <c r="HA34" s="325"/>
      <c r="HB34" s="325"/>
      <c r="HC34" s="325"/>
      <c r="HD34" s="325"/>
      <c r="HE34" s="325"/>
      <c r="HF34" s="325"/>
      <c r="HG34" s="325"/>
      <c r="HH34" s="325"/>
      <c r="HI34" s="325"/>
      <c r="HJ34" s="325"/>
      <c r="HK34" s="325"/>
      <c r="HL34" s="325"/>
      <c r="HM34" s="325"/>
      <c r="HN34" s="325"/>
      <c r="HO34" s="325"/>
      <c r="HP34" s="325"/>
      <c r="HQ34" s="325"/>
      <c r="HR34" s="325"/>
      <c r="HS34" s="325"/>
      <c r="HT34" s="325"/>
      <c r="HU34" s="325"/>
      <c r="HV34" s="325"/>
      <c r="HW34" s="325"/>
      <c r="HX34" s="325"/>
      <c r="HY34" s="325"/>
      <c r="HZ34" s="325"/>
      <c r="IA34" s="325"/>
      <c r="IB34" s="325"/>
      <c r="IC34" s="325"/>
      <c r="ID34" s="325"/>
      <c r="IE34" s="325"/>
      <c r="IF34" s="325"/>
      <c r="IG34" s="325"/>
      <c r="IH34" s="325"/>
      <c r="II34" s="325"/>
      <c r="IJ34" s="325"/>
      <c r="IK34" s="325"/>
      <c r="IL34" s="325"/>
      <c r="IM34" s="325"/>
      <c r="IN34" s="325"/>
      <c r="IO34" s="325"/>
      <c r="IP34" s="325"/>
      <c r="IQ34" s="325"/>
      <c r="IR34" s="325"/>
    </row>
    <row r="35" spans="1:252" ht="15">
      <c r="A35" s="292"/>
      <c r="B35" s="316" t="str">
        <f>'Balance Sheet Ann'!E20</f>
        <v>Corporation tax creditor</v>
      </c>
      <c r="C35" s="292"/>
      <c r="D35" s="321">
        <f ca="1">'Balance Sheet Ann'!J20</f>
        <v>450976.02868667158</v>
      </c>
      <c r="E35" s="321">
        <f ca="1">'Balance Sheet Ann'!K20</f>
        <v>3015305.6722375061</v>
      </c>
      <c r="F35" s="321">
        <f ca="1">'Balance Sheet Ann'!L20</f>
        <v>6311789.5763919428</v>
      </c>
      <c r="G35" s="321">
        <f ca="1">'Balance Sheet Ann'!M20</f>
        <v>14764009.528499331</v>
      </c>
      <c r="H35" s="321">
        <f ca="1">'Balance Sheet Ann'!N20</f>
        <v>31079993.489456456</v>
      </c>
      <c r="I35" s="292"/>
      <c r="J35" s="292"/>
      <c r="K35" s="315"/>
      <c r="L35" s="315"/>
      <c r="M35" s="315"/>
      <c r="N35" s="315"/>
      <c r="O35" s="315"/>
      <c r="P35" s="315"/>
      <c r="Q35" s="315"/>
      <c r="R35" s="315"/>
      <c r="S35" s="315"/>
      <c r="T35" s="315"/>
      <c r="U35" s="315"/>
      <c r="V35" s="315"/>
      <c r="W35" s="315"/>
      <c r="X35" s="315"/>
      <c r="Y35" s="315"/>
      <c r="Z35" s="315"/>
      <c r="AA35" s="315"/>
      <c r="AB35" s="315"/>
      <c r="AC35" s="315"/>
      <c r="AD35" s="315"/>
      <c r="AE35" s="315"/>
      <c r="AF35" s="315"/>
      <c r="AG35" s="315"/>
      <c r="AH35" s="315"/>
      <c r="AI35" s="315"/>
      <c r="AJ35" s="315"/>
      <c r="AK35" s="315"/>
      <c r="AL35" s="315"/>
      <c r="AM35" s="315"/>
      <c r="AN35" s="315"/>
      <c r="AO35" s="315"/>
      <c r="AP35" s="315"/>
      <c r="AQ35" s="315"/>
      <c r="AR35" s="315"/>
      <c r="AS35" s="315"/>
      <c r="AT35" s="315"/>
      <c r="AU35" s="315"/>
      <c r="AV35" s="315"/>
      <c r="AW35" s="315"/>
      <c r="AX35" s="315"/>
      <c r="AY35" s="315"/>
      <c r="AZ35" s="315"/>
      <c r="BA35" s="315"/>
      <c r="BB35" s="315"/>
      <c r="BC35" s="315"/>
      <c r="BD35" s="315"/>
      <c r="BE35" s="315"/>
      <c r="BF35" s="315"/>
      <c r="BG35" s="315"/>
      <c r="BH35" s="315"/>
      <c r="BI35" s="315"/>
      <c r="BJ35" s="315"/>
      <c r="BK35" s="315"/>
      <c r="BL35" s="315"/>
      <c r="BM35" s="315"/>
      <c r="BN35" s="315"/>
      <c r="BO35" s="315"/>
      <c r="BP35" s="315"/>
      <c r="BQ35" s="315"/>
      <c r="BR35" s="315"/>
      <c r="BS35" s="315"/>
      <c r="BT35" s="315"/>
      <c r="BU35" s="315"/>
      <c r="BV35" s="315"/>
      <c r="BW35" s="315"/>
      <c r="BX35" s="315"/>
      <c r="BY35" s="315"/>
      <c r="BZ35" s="315"/>
      <c r="CA35" s="315"/>
      <c r="CB35" s="315"/>
      <c r="CC35" s="315"/>
      <c r="CD35" s="315"/>
      <c r="CE35" s="315"/>
      <c r="CF35" s="315"/>
      <c r="CG35" s="315"/>
      <c r="CH35" s="315"/>
      <c r="CI35" s="315"/>
      <c r="CJ35" s="315"/>
      <c r="CK35" s="315"/>
      <c r="CL35" s="315"/>
      <c r="CM35" s="315"/>
      <c r="CN35" s="315"/>
      <c r="CO35" s="315"/>
      <c r="CP35" s="315"/>
      <c r="CQ35" s="315"/>
      <c r="CR35" s="315"/>
      <c r="CS35" s="315"/>
      <c r="CT35" s="315"/>
      <c r="CU35" s="315"/>
      <c r="CV35" s="315"/>
      <c r="CW35" s="315"/>
      <c r="CX35" s="315"/>
      <c r="CY35" s="315"/>
      <c r="CZ35" s="315"/>
      <c r="DA35" s="315"/>
      <c r="DB35" s="315"/>
      <c r="DC35" s="315"/>
      <c r="DD35" s="315"/>
      <c r="DE35" s="315"/>
      <c r="DF35" s="315"/>
      <c r="DG35" s="315"/>
      <c r="DH35" s="315"/>
      <c r="DI35" s="315"/>
      <c r="DJ35" s="315"/>
      <c r="DK35" s="315"/>
      <c r="DL35" s="315"/>
      <c r="DM35" s="315"/>
      <c r="DN35" s="315"/>
      <c r="DO35" s="315"/>
      <c r="DP35" s="315"/>
      <c r="DQ35" s="315"/>
      <c r="DR35" s="315"/>
      <c r="DS35" s="315"/>
      <c r="DT35" s="315"/>
      <c r="DU35" s="315"/>
      <c r="DV35" s="315"/>
      <c r="DW35" s="315"/>
      <c r="DX35" s="315"/>
      <c r="DY35" s="315"/>
      <c r="DZ35" s="315"/>
      <c r="EA35" s="315"/>
      <c r="EB35" s="315"/>
      <c r="EC35" s="315"/>
      <c r="ED35" s="315"/>
      <c r="EE35" s="315"/>
      <c r="EF35" s="315"/>
      <c r="EG35" s="315"/>
      <c r="EH35" s="315"/>
      <c r="EI35" s="315"/>
      <c r="EJ35" s="315"/>
      <c r="EK35" s="315"/>
      <c r="EL35" s="315"/>
      <c r="EM35" s="315"/>
      <c r="EN35" s="315"/>
      <c r="EO35" s="315"/>
      <c r="EP35" s="315"/>
      <c r="EQ35" s="315"/>
      <c r="ER35" s="315"/>
      <c r="ES35" s="315"/>
      <c r="ET35" s="315"/>
      <c r="EU35" s="315"/>
      <c r="EV35" s="315"/>
      <c r="EW35" s="315"/>
      <c r="EX35" s="315"/>
      <c r="EY35" s="315"/>
      <c r="EZ35" s="315"/>
      <c r="FA35" s="315"/>
      <c r="FB35" s="315"/>
      <c r="FC35" s="315"/>
      <c r="FD35" s="315"/>
      <c r="FE35" s="315"/>
      <c r="FF35" s="315"/>
      <c r="FG35" s="315"/>
      <c r="FH35" s="315"/>
      <c r="FI35" s="315"/>
      <c r="FJ35" s="315"/>
      <c r="FK35" s="315"/>
      <c r="FL35" s="315"/>
      <c r="FM35" s="315"/>
      <c r="FN35" s="315"/>
      <c r="FO35" s="315"/>
      <c r="FP35" s="315"/>
      <c r="FQ35" s="315"/>
      <c r="FR35" s="315"/>
      <c r="FS35" s="315"/>
      <c r="FT35" s="315"/>
      <c r="FU35" s="315"/>
      <c r="FV35" s="315"/>
      <c r="FW35" s="315"/>
      <c r="FX35" s="315"/>
      <c r="FY35" s="315"/>
      <c r="FZ35" s="315"/>
      <c r="GA35" s="315"/>
      <c r="GB35" s="315"/>
      <c r="GC35" s="315"/>
      <c r="GD35" s="315"/>
      <c r="GE35" s="315"/>
      <c r="GF35" s="315"/>
      <c r="GG35" s="315"/>
      <c r="GH35" s="315"/>
      <c r="GI35" s="315"/>
      <c r="GJ35" s="315"/>
      <c r="GK35" s="315"/>
      <c r="GL35" s="315"/>
      <c r="GM35" s="315"/>
      <c r="GN35" s="315"/>
      <c r="GO35" s="315"/>
      <c r="GP35" s="315"/>
      <c r="GQ35" s="315"/>
      <c r="GR35" s="315"/>
      <c r="GS35" s="315"/>
      <c r="GT35" s="315"/>
      <c r="GU35" s="315"/>
      <c r="GV35" s="315"/>
      <c r="GW35" s="315"/>
      <c r="GX35" s="315"/>
      <c r="GY35" s="315"/>
      <c r="GZ35" s="315"/>
      <c r="HA35" s="315"/>
      <c r="HB35" s="315"/>
      <c r="HC35" s="315"/>
      <c r="HD35" s="315"/>
      <c r="HE35" s="315"/>
      <c r="HF35" s="315"/>
      <c r="HG35" s="315"/>
      <c r="HH35" s="315"/>
      <c r="HI35" s="315"/>
      <c r="HJ35" s="315"/>
      <c r="HK35" s="315"/>
      <c r="HL35" s="315"/>
      <c r="HM35" s="315"/>
      <c r="HN35" s="315"/>
      <c r="HO35" s="315"/>
      <c r="HP35" s="315"/>
      <c r="HQ35" s="315"/>
      <c r="HR35" s="315"/>
      <c r="HS35" s="315"/>
      <c r="HT35" s="315"/>
      <c r="HU35" s="315"/>
      <c r="HV35" s="315"/>
      <c r="HW35" s="315"/>
      <c r="HX35" s="315"/>
      <c r="HY35" s="315"/>
      <c r="HZ35" s="315"/>
      <c r="IA35" s="315"/>
      <c r="IB35" s="315"/>
      <c r="IC35" s="315"/>
      <c r="ID35" s="315"/>
      <c r="IE35" s="315"/>
      <c r="IF35" s="315"/>
      <c r="IG35" s="315"/>
      <c r="IH35" s="315"/>
      <c r="II35" s="315"/>
      <c r="IJ35" s="315"/>
      <c r="IK35" s="315"/>
      <c r="IL35" s="315"/>
      <c r="IM35" s="315"/>
      <c r="IN35" s="315"/>
      <c r="IO35" s="315"/>
      <c r="IP35" s="315"/>
      <c r="IQ35" s="315"/>
      <c r="IR35" s="315"/>
    </row>
    <row r="36" spans="1:252" ht="15">
      <c r="A36" s="292"/>
      <c r="B36" s="327" t="str">
        <f>'Balance Sheet Ann'!E21</f>
        <v>Liabilities</v>
      </c>
      <c r="C36" s="323"/>
      <c r="D36" s="324">
        <f ca="1">'Balance Sheet Ann'!J21</f>
        <v>7525289.2018163269</v>
      </c>
      <c r="E36" s="324">
        <f ca="1">'Balance Sheet Ann'!K21</f>
        <v>18172495.656371117</v>
      </c>
      <c r="F36" s="324">
        <f ca="1">'Balance Sheet Ann'!L21</f>
        <v>48641284.065461338</v>
      </c>
      <c r="G36" s="324">
        <f ca="1">'Balance Sheet Ann'!M21</f>
        <v>132146675.40435174</v>
      </c>
      <c r="H36" s="324">
        <f ca="1">'Balance Sheet Ann'!N21</f>
        <v>300484818.36869133</v>
      </c>
      <c r="I36" s="292"/>
      <c r="J36" s="292"/>
      <c r="K36" s="315"/>
      <c r="L36" s="315"/>
      <c r="M36" s="315"/>
      <c r="N36" s="315"/>
      <c r="O36" s="315"/>
      <c r="P36" s="315"/>
      <c r="Q36" s="315"/>
      <c r="R36" s="315"/>
      <c r="S36" s="315"/>
      <c r="T36" s="315"/>
      <c r="U36" s="315"/>
      <c r="V36" s="315"/>
      <c r="W36" s="315"/>
      <c r="X36" s="315"/>
      <c r="Y36" s="315"/>
      <c r="Z36" s="315"/>
      <c r="AA36" s="315"/>
      <c r="AB36" s="315"/>
      <c r="AC36" s="315"/>
      <c r="AD36" s="315"/>
      <c r="AE36" s="315"/>
      <c r="AF36" s="315"/>
      <c r="AG36" s="315"/>
      <c r="AH36" s="315"/>
      <c r="AI36" s="315"/>
      <c r="AJ36" s="315"/>
      <c r="AK36" s="315"/>
      <c r="AL36" s="315"/>
      <c r="AM36" s="315"/>
      <c r="AN36" s="315"/>
      <c r="AO36" s="315"/>
      <c r="AP36" s="315"/>
      <c r="AQ36" s="315"/>
      <c r="AR36" s="315"/>
      <c r="AS36" s="315"/>
      <c r="AT36" s="315"/>
      <c r="AU36" s="315"/>
      <c r="AV36" s="315"/>
      <c r="AW36" s="315"/>
      <c r="AX36" s="315"/>
      <c r="AY36" s="315"/>
      <c r="AZ36" s="315"/>
      <c r="BA36" s="315"/>
      <c r="BB36" s="315"/>
      <c r="BC36" s="315"/>
      <c r="BD36" s="315"/>
      <c r="BE36" s="315"/>
      <c r="BF36" s="315"/>
      <c r="BG36" s="315"/>
      <c r="BH36" s="315"/>
      <c r="BI36" s="315"/>
      <c r="BJ36" s="315"/>
      <c r="BK36" s="315"/>
      <c r="BL36" s="315"/>
      <c r="BM36" s="315"/>
      <c r="BN36" s="315"/>
      <c r="BO36" s="315"/>
      <c r="BP36" s="315"/>
      <c r="BQ36" s="315"/>
      <c r="BR36" s="315"/>
      <c r="BS36" s="315"/>
      <c r="BT36" s="315"/>
      <c r="BU36" s="315"/>
      <c r="BV36" s="315"/>
      <c r="BW36" s="315"/>
      <c r="BX36" s="315"/>
      <c r="BY36" s="315"/>
      <c r="BZ36" s="315"/>
      <c r="CA36" s="315"/>
      <c r="CB36" s="315"/>
      <c r="CC36" s="315"/>
      <c r="CD36" s="315"/>
      <c r="CE36" s="315"/>
      <c r="CF36" s="315"/>
      <c r="CG36" s="315"/>
      <c r="CH36" s="315"/>
      <c r="CI36" s="315"/>
      <c r="CJ36" s="315"/>
      <c r="CK36" s="315"/>
      <c r="CL36" s="315"/>
      <c r="CM36" s="315"/>
      <c r="CN36" s="315"/>
      <c r="CO36" s="315"/>
      <c r="CP36" s="315"/>
      <c r="CQ36" s="315"/>
      <c r="CR36" s="315"/>
      <c r="CS36" s="315"/>
      <c r="CT36" s="315"/>
      <c r="CU36" s="315"/>
      <c r="CV36" s="315"/>
      <c r="CW36" s="315"/>
      <c r="CX36" s="315"/>
      <c r="CY36" s="315"/>
      <c r="CZ36" s="315"/>
      <c r="DA36" s="315"/>
      <c r="DB36" s="315"/>
      <c r="DC36" s="315"/>
      <c r="DD36" s="315"/>
      <c r="DE36" s="315"/>
      <c r="DF36" s="315"/>
      <c r="DG36" s="315"/>
      <c r="DH36" s="315"/>
      <c r="DI36" s="315"/>
      <c r="DJ36" s="315"/>
      <c r="DK36" s="315"/>
      <c r="DL36" s="315"/>
      <c r="DM36" s="315"/>
      <c r="DN36" s="315"/>
      <c r="DO36" s="315"/>
      <c r="DP36" s="315"/>
      <c r="DQ36" s="315"/>
      <c r="DR36" s="315"/>
      <c r="DS36" s="315"/>
      <c r="DT36" s="315"/>
      <c r="DU36" s="315"/>
      <c r="DV36" s="315"/>
      <c r="DW36" s="315"/>
      <c r="DX36" s="315"/>
      <c r="DY36" s="315"/>
      <c r="DZ36" s="315"/>
      <c r="EA36" s="315"/>
      <c r="EB36" s="315"/>
      <c r="EC36" s="315"/>
      <c r="ED36" s="315"/>
      <c r="EE36" s="315"/>
      <c r="EF36" s="315"/>
      <c r="EG36" s="315"/>
      <c r="EH36" s="315"/>
      <c r="EI36" s="315"/>
      <c r="EJ36" s="315"/>
      <c r="EK36" s="315"/>
      <c r="EL36" s="315"/>
      <c r="EM36" s="315"/>
      <c r="EN36" s="315"/>
      <c r="EO36" s="315"/>
      <c r="EP36" s="315"/>
      <c r="EQ36" s="315"/>
      <c r="ER36" s="315"/>
      <c r="ES36" s="315"/>
      <c r="ET36" s="315"/>
      <c r="EU36" s="315"/>
      <c r="EV36" s="315"/>
      <c r="EW36" s="315"/>
      <c r="EX36" s="315"/>
      <c r="EY36" s="315"/>
      <c r="EZ36" s="315"/>
      <c r="FA36" s="315"/>
      <c r="FB36" s="315"/>
      <c r="FC36" s="315"/>
      <c r="FD36" s="315"/>
      <c r="FE36" s="315"/>
      <c r="FF36" s="315"/>
      <c r="FG36" s="315"/>
      <c r="FH36" s="315"/>
      <c r="FI36" s="315"/>
      <c r="FJ36" s="315"/>
      <c r="FK36" s="315"/>
      <c r="FL36" s="315"/>
      <c r="FM36" s="315"/>
      <c r="FN36" s="315"/>
      <c r="FO36" s="315"/>
      <c r="FP36" s="315"/>
      <c r="FQ36" s="315"/>
      <c r="FR36" s="315"/>
      <c r="FS36" s="315"/>
      <c r="FT36" s="315"/>
      <c r="FU36" s="315"/>
      <c r="FV36" s="315"/>
      <c r="FW36" s="315"/>
      <c r="FX36" s="315"/>
      <c r="FY36" s="315"/>
      <c r="FZ36" s="315"/>
      <c r="GA36" s="315"/>
      <c r="GB36" s="315"/>
      <c r="GC36" s="315"/>
      <c r="GD36" s="315"/>
      <c r="GE36" s="315"/>
      <c r="GF36" s="315"/>
      <c r="GG36" s="315"/>
      <c r="GH36" s="315"/>
      <c r="GI36" s="315"/>
      <c r="GJ36" s="315"/>
      <c r="GK36" s="315"/>
      <c r="GL36" s="315"/>
      <c r="GM36" s="315"/>
      <c r="GN36" s="315"/>
      <c r="GO36" s="315"/>
      <c r="GP36" s="315"/>
      <c r="GQ36" s="315"/>
      <c r="GR36" s="315"/>
      <c r="GS36" s="315"/>
      <c r="GT36" s="315"/>
      <c r="GU36" s="315"/>
      <c r="GV36" s="315"/>
      <c r="GW36" s="315"/>
      <c r="GX36" s="315"/>
      <c r="GY36" s="315"/>
      <c r="GZ36" s="315"/>
      <c r="HA36" s="315"/>
      <c r="HB36" s="315"/>
      <c r="HC36" s="315"/>
      <c r="HD36" s="315"/>
      <c r="HE36" s="315"/>
      <c r="HF36" s="315"/>
      <c r="HG36" s="315"/>
      <c r="HH36" s="315"/>
      <c r="HI36" s="315"/>
      <c r="HJ36" s="315"/>
      <c r="HK36" s="315"/>
      <c r="HL36" s="315"/>
      <c r="HM36" s="315"/>
      <c r="HN36" s="315"/>
      <c r="HO36" s="315"/>
      <c r="HP36" s="315"/>
      <c r="HQ36" s="315"/>
      <c r="HR36" s="315"/>
      <c r="HS36" s="315"/>
      <c r="HT36" s="315"/>
      <c r="HU36" s="315"/>
      <c r="HV36" s="315"/>
      <c r="HW36" s="315"/>
      <c r="HX36" s="315"/>
      <c r="HY36" s="315"/>
      <c r="HZ36" s="315"/>
      <c r="IA36" s="315"/>
      <c r="IB36" s="315"/>
      <c r="IC36" s="315"/>
      <c r="ID36" s="315"/>
      <c r="IE36" s="315"/>
      <c r="IF36" s="315"/>
      <c r="IG36" s="315"/>
      <c r="IH36" s="315"/>
      <c r="II36" s="315"/>
      <c r="IJ36" s="315"/>
      <c r="IK36" s="315"/>
      <c r="IL36" s="315"/>
      <c r="IM36" s="315"/>
      <c r="IN36" s="315"/>
      <c r="IO36" s="315"/>
      <c r="IP36" s="315"/>
      <c r="IQ36" s="315"/>
      <c r="IR36" s="315"/>
    </row>
    <row r="37" spans="1:252" ht="15">
      <c r="A37" s="292"/>
      <c r="B37" s="294"/>
      <c r="C37" s="292"/>
      <c r="D37" s="321"/>
      <c r="E37" s="321"/>
      <c r="F37" s="321"/>
      <c r="G37" s="321"/>
      <c r="H37" s="321"/>
      <c r="I37" s="292"/>
      <c r="J37" s="292"/>
      <c r="K37" s="315"/>
      <c r="L37" s="315"/>
      <c r="M37" s="315"/>
      <c r="N37" s="315"/>
      <c r="O37" s="315"/>
      <c r="P37" s="315"/>
      <c r="Q37" s="315"/>
      <c r="R37" s="315"/>
      <c r="S37" s="315"/>
      <c r="T37" s="315"/>
      <c r="U37" s="315"/>
      <c r="V37" s="315"/>
      <c r="W37" s="315"/>
      <c r="X37" s="315"/>
      <c r="Y37" s="315"/>
      <c r="Z37" s="315"/>
      <c r="AA37" s="315"/>
      <c r="AB37" s="315"/>
      <c r="AC37" s="315"/>
      <c r="AD37" s="315"/>
      <c r="AE37" s="315"/>
      <c r="AF37" s="315"/>
      <c r="AG37" s="315"/>
      <c r="AH37" s="315"/>
      <c r="AI37" s="315"/>
      <c r="AJ37" s="315"/>
      <c r="AK37" s="315"/>
      <c r="AL37" s="315"/>
      <c r="AM37" s="315"/>
      <c r="AN37" s="315"/>
      <c r="AO37" s="315"/>
      <c r="AP37" s="315"/>
      <c r="AQ37" s="315"/>
      <c r="AR37" s="315"/>
      <c r="AS37" s="315"/>
      <c r="AT37" s="315"/>
      <c r="AU37" s="315"/>
      <c r="AV37" s="315"/>
      <c r="AW37" s="315"/>
      <c r="AX37" s="315"/>
      <c r="AY37" s="315"/>
      <c r="AZ37" s="315"/>
      <c r="BA37" s="315"/>
      <c r="BB37" s="315"/>
      <c r="BC37" s="315"/>
      <c r="BD37" s="315"/>
      <c r="BE37" s="315"/>
      <c r="BF37" s="315"/>
      <c r="BG37" s="315"/>
      <c r="BH37" s="315"/>
      <c r="BI37" s="315"/>
      <c r="BJ37" s="315"/>
      <c r="BK37" s="315"/>
      <c r="BL37" s="315"/>
      <c r="BM37" s="315"/>
      <c r="BN37" s="315"/>
      <c r="BO37" s="315"/>
      <c r="BP37" s="315"/>
      <c r="BQ37" s="315"/>
      <c r="BR37" s="315"/>
      <c r="BS37" s="315"/>
      <c r="BT37" s="315"/>
      <c r="BU37" s="315"/>
      <c r="BV37" s="315"/>
      <c r="BW37" s="315"/>
      <c r="BX37" s="315"/>
      <c r="BY37" s="315"/>
      <c r="BZ37" s="315"/>
      <c r="CA37" s="315"/>
      <c r="CB37" s="315"/>
      <c r="CC37" s="315"/>
      <c r="CD37" s="315"/>
      <c r="CE37" s="315"/>
      <c r="CF37" s="315"/>
      <c r="CG37" s="315"/>
      <c r="CH37" s="315"/>
      <c r="CI37" s="315"/>
      <c r="CJ37" s="315"/>
      <c r="CK37" s="315"/>
      <c r="CL37" s="315"/>
      <c r="CM37" s="315"/>
      <c r="CN37" s="315"/>
      <c r="CO37" s="315"/>
      <c r="CP37" s="315"/>
      <c r="CQ37" s="315"/>
      <c r="CR37" s="315"/>
      <c r="CS37" s="315"/>
      <c r="CT37" s="315"/>
      <c r="CU37" s="315"/>
      <c r="CV37" s="315"/>
      <c r="CW37" s="315"/>
      <c r="CX37" s="315"/>
      <c r="CY37" s="315"/>
      <c r="CZ37" s="315"/>
      <c r="DA37" s="315"/>
      <c r="DB37" s="315"/>
      <c r="DC37" s="315"/>
      <c r="DD37" s="315"/>
      <c r="DE37" s="315"/>
      <c r="DF37" s="315"/>
      <c r="DG37" s="315"/>
      <c r="DH37" s="315"/>
      <c r="DI37" s="315"/>
      <c r="DJ37" s="315"/>
      <c r="DK37" s="315"/>
      <c r="DL37" s="315"/>
      <c r="DM37" s="315"/>
      <c r="DN37" s="315"/>
      <c r="DO37" s="315"/>
      <c r="DP37" s="315"/>
      <c r="DQ37" s="315"/>
      <c r="DR37" s="315"/>
      <c r="DS37" s="315"/>
      <c r="DT37" s="315"/>
      <c r="DU37" s="315"/>
      <c r="DV37" s="315"/>
      <c r="DW37" s="315"/>
      <c r="DX37" s="315"/>
      <c r="DY37" s="315"/>
      <c r="DZ37" s="315"/>
      <c r="EA37" s="315"/>
      <c r="EB37" s="315"/>
      <c r="EC37" s="315"/>
      <c r="ED37" s="315"/>
      <c r="EE37" s="315"/>
      <c r="EF37" s="315"/>
      <c r="EG37" s="315"/>
      <c r="EH37" s="315"/>
      <c r="EI37" s="315"/>
      <c r="EJ37" s="315"/>
      <c r="EK37" s="315"/>
      <c r="EL37" s="315"/>
      <c r="EM37" s="315"/>
      <c r="EN37" s="315"/>
      <c r="EO37" s="315"/>
      <c r="EP37" s="315"/>
      <c r="EQ37" s="315"/>
      <c r="ER37" s="315"/>
      <c r="ES37" s="315"/>
      <c r="ET37" s="315"/>
      <c r="EU37" s="315"/>
      <c r="EV37" s="315"/>
      <c r="EW37" s="315"/>
      <c r="EX37" s="315"/>
      <c r="EY37" s="315"/>
      <c r="EZ37" s="315"/>
      <c r="FA37" s="315"/>
      <c r="FB37" s="315"/>
      <c r="FC37" s="315"/>
      <c r="FD37" s="315"/>
      <c r="FE37" s="315"/>
      <c r="FF37" s="315"/>
      <c r="FG37" s="315"/>
      <c r="FH37" s="315"/>
      <c r="FI37" s="315"/>
      <c r="FJ37" s="315"/>
      <c r="FK37" s="315"/>
      <c r="FL37" s="315"/>
      <c r="FM37" s="315"/>
      <c r="FN37" s="315"/>
      <c r="FO37" s="315"/>
      <c r="FP37" s="315"/>
      <c r="FQ37" s="315"/>
      <c r="FR37" s="315"/>
      <c r="FS37" s="315"/>
      <c r="FT37" s="315"/>
      <c r="FU37" s="315"/>
      <c r="FV37" s="315"/>
      <c r="FW37" s="315"/>
      <c r="FX37" s="315"/>
      <c r="FY37" s="315"/>
      <c r="FZ37" s="315"/>
      <c r="GA37" s="315"/>
      <c r="GB37" s="315"/>
      <c r="GC37" s="315"/>
      <c r="GD37" s="315"/>
      <c r="GE37" s="315"/>
      <c r="GF37" s="315"/>
      <c r="GG37" s="315"/>
      <c r="GH37" s="315"/>
      <c r="GI37" s="315"/>
      <c r="GJ37" s="315"/>
      <c r="GK37" s="315"/>
      <c r="GL37" s="315"/>
      <c r="GM37" s="315"/>
      <c r="GN37" s="315"/>
      <c r="GO37" s="315"/>
      <c r="GP37" s="315"/>
      <c r="GQ37" s="315"/>
      <c r="GR37" s="315"/>
      <c r="GS37" s="315"/>
      <c r="GT37" s="315"/>
      <c r="GU37" s="315"/>
      <c r="GV37" s="315"/>
      <c r="GW37" s="315"/>
      <c r="GX37" s="315"/>
      <c r="GY37" s="315"/>
      <c r="GZ37" s="315"/>
      <c r="HA37" s="315"/>
      <c r="HB37" s="315"/>
      <c r="HC37" s="315"/>
      <c r="HD37" s="315"/>
      <c r="HE37" s="315"/>
      <c r="HF37" s="315"/>
      <c r="HG37" s="315"/>
      <c r="HH37" s="315"/>
      <c r="HI37" s="315"/>
      <c r="HJ37" s="315"/>
      <c r="HK37" s="315"/>
      <c r="HL37" s="315"/>
      <c r="HM37" s="315"/>
      <c r="HN37" s="315"/>
      <c r="HO37" s="315"/>
      <c r="HP37" s="315"/>
      <c r="HQ37" s="315"/>
      <c r="HR37" s="315"/>
      <c r="HS37" s="315"/>
      <c r="HT37" s="315"/>
      <c r="HU37" s="315"/>
      <c r="HV37" s="315"/>
      <c r="HW37" s="315"/>
      <c r="HX37" s="315"/>
      <c r="HY37" s="315"/>
      <c r="HZ37" s="315"/>
      <c r="IA37" s="315"/>
      <c r="IB37" s="315"/>
      <c r="IC37" s="315"/>
      <c r="ID37" s="315"/>
      <c r="IE37" s="315"/>
      <c r="IF37" s="315"/>
      <c r="IG37" s="315"/>
      <c r="IH37" s="315"/>
      <c r="II37" s="315"/>
      <c r="IJ37" s="315"/>
      <c r="IK37" s="315"/>
      <c r="IL37" s="315"/>
      <c r="IM37" s="315"/>
      <c r="IN37" s="315"/>
      <c r="IO37" s="315"/>
      <c r="IP37" s="315"/>
      <c r="IQ37" s="315"/>
      <c r="IR37" s="315"/>
    </row>
    <row r="38" spans="1:252" s="326" customFormat="1" ht="14.5">
      <c r="A38" s="316"/>
      <c r="B38" s="327" t="str">
        <f>'Balance Sheet Ann'!E23</f>
        <v>Net Assets</v>
      </c>
      <c r="C38" s="323"/>
      <c r="D38" s="324">
        <f ca="1">'Balance Sheet Ann'!J23</f>
        <v>1569195.781413353</v>
      </c>
      <c r="E38" s="324">
        <f ca="1">'Balance Sheet Ann'!K23</f>
        <v>15546226.417618215</v>
      </c>
      <c r="F38" s="324">
        <f ca="1">'Balance Sheet Ann'!L23</f>
        <v>44665399.637570754</v>
      </c>
      <c r="G38" s="324">
        <f ca="1">'Balance Sheet Ann'!M23</f>
        <v>111753699.20434937</v>
      </c>
      <c r="H38" s="324">
        <f ca="1">'Balance Sheet Ann'!N23</f>
        <v>255482005.61535609</v>
      </c>
      <c r="I38" s="316"/>
      <c r="J38" s="316"/>
      <c r="K38" s="316"/>
      <c r="L38" s="325"/>
      <c r="M38" s="325"/>
      <c r="N38" s="325"/>
      <c r="O38" s="325"/>
      <c r="P38" s="325"/>
      <c r="Q38" s="325"/>
      <c r="R38" s="32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5"/>
      <c r="AU38" s="325"/>
      <c r="AV38" s="325"/>
      <c r="AW38" s="325"/>
      <c r="AX38" s="325"/>
      <c r="AY38" s="325"/>
      <c r="AZ38" s="325"/>
      <c r="BA38" s="325"/>
      <c r="BB38" s="325"/>
      <c r="BC38" s="325"/>
      <c r="BD38" s="325"/>
      <c r="BE38" s="325"/>
      <c r="BF38" s="325"/>
      <c r="BG38" s="325"/>
      <c r="BH38" s="325"/>
      <c r="BI38" s="325"/>
      <c r="BJ38" s="325"/>
      <c r="BK38" s="325"/>
      <c r="BL38" s="325"/>
      <c r="BM38" s="325"/>
      <c r="BN38" s="325"/>
      <c r="BO38" s="325"/>
      <c r="BP38" s="325"/>
      <c r="BQ38" s="325"/>
      <c r="BR38" s="325"/>
      <c r="BS38" s="325"/>
      <c r="BT38" s="325"/>
      <c r="BU38" s="325"/>
      <c r="BV38" s="325"/>
      <c r="BW38" s="325"/>
      <c r="BX38" s="325"/>
      <c r="BY38" s="325"/>
      <c r="BZ38" s="325"/>
      <c r="CA38" s="325"/>
      <c r="CB38" s="325"/>
      <c r="CC38" s="325"/>
      <c r="CD38" s="325"/>
      <c r="CE38" s="325"/>
      <c r="CF38" s="325"/>
      <c r="CG38" s="325"/>
      <c r="CH38" s="325"/>
      <c r="CI38" s="325"/>
      <c r="CJ38" s="325"/>
      <c r="CK38" s="325"/>
      <c r="CL38" s="325"/>
      <c r="CM38" s="325"/>
      <c r="CN38" s="325"/>
      <c r="CO38" s="325"/>
      <c r="CP38" s="325"/>
      <c r="CQ38" s="325"/>
      <c r="CR38" s="325"/>
      <c r="CS38" s="325"/>
      <c r="CT38" s="325"/>
      <c r="CU38" s="325"/>
      <c r="CV38" s="325"/>
      <c r="CW38" s="325"/>
      <c r="CX38" s="325"/>
      <c r="CY38" s="325"/>
      <c r="CZ38" s="325"/>
      <c r="DA38" s="325"/>
      <c r="DB38" s="325"/>
      <c r="DC38" s="325"/>
      <c r="DD38" s="325"/>
      <c r="DE38" s="325"/>
      <c r="DF38" s="325"/>
      <c r="DG38" s="325"/>
      <c r="DH38" s="325"/>
      <c r="DI38" s="325"/>
      <c r="DJ38" s="325"/>
      <c r="DK38" s="325"/>
      <c r="DL38" s="325"/>
      <c r="DM38" s="325"/>
      <c r="DN38" s="325"/>
      <c r="DO38" s="325"/>
      <c r="DP38" s="325"/>
      <c r="DQ38" s="325"/>
      <c r="DR38" s="325"/>
      <c r="DS38" s="325"/>
      <c r="DT38" s="325"/>
      <c r="DU38" s="325"/>
      <c r="DV38" s="325"/>
      <c r="DW38" s="325"/>
      <c r="DX38" s="325"/>
      <c r="DY38" s="325"/>
      <c r="DZ38" s="325"/>
      <c r="EA38" s="325"/>
      <c r="EB38" s="325"/>
      <c r="EC38" s="325"/>
      <c r="ED38" s="325"/>
      <c r="EE38" s="325"/>
      <c r="EF38" s="325"/>
      <c r="EG38" s="325"/>
      <c r="EH38" s="325"/>
      <c r="EI38" s="325"/>
      <c r="EJ38" s="325"/>
      <c r="EK38" s="325"/>
      <c r="EL38" s="325"/>
      <c r="EM38" s="325"/>
      <c r="EN38" s="325"/>
      <c r="EO38" s="325"/>
      <c r="EP38" s="325"/>
      <c r="EQ38" s="325"/>
      <c r="ER38" s="325"/>
      <c r="ES38" s="325"/>
      <c r="ET38" s="325"/>
      <c r="EU38" s="325"/>
      <c r="EV38" s="325"/>
      <c r="EW38" s="325"/>
      <c r="EX38" s="325"/>
      <c r="EY38" s="325"/>
      <c r="EZ38" s="325"/>
      <c r="FA38" s="325"/>
      <c r="FB38" s="325"/>
      <c r="FC38" s="325"/>
      <c r="FD38" s="325"/>
      <c r="FE38" s="325"/>
      <c r="FF38" s="325"/>
      <c r="FG38" s="325"/>
      <c r="FH38" s="325"/>
      <c r="FI38" s="325"/>
      <c r="FJ38" s="325"/>
      <c r="FK38" s="325"/>
      <c r="FL38" s="325"/>
      <c r="FM38" s="325"/>
      <c r="FN38" s="325"/>
      <c r="FO38" s="325"/>
      <c r="FP38" s="325"/>
      <c r="FQ38" s="325"/>
      <c r="FR38" s="325"/>
      <c r="FS38" s="325"/>
      <c r="FT38" s="325"/>
      <c r="FU38" s="325"/>
      <c r="FV38" s="325"/>
      <c r="FW38" s="325"/>
      <c r="FX38" s="325"/>
      <c r="FY38" s="325"/>
      <c r="FZ38" s="325"/>
      <c r="GA38" s="325"/>
      <c r="GB38" s="325"/>
      <c r="GC38" s="325"/>
      <c r="GD38" s="325"/>
      <c r="GE38" s="325"/>
      <c r="GF38" s="325"/>
      <c r="GG38" s="325"/>
      <c r="GH38" s="325"/>
      <c r="GI38" s="325"/>
      <c r="GJ38" s="325"/>
      <c r="GK38" s="325"/>
      <c r="GL38" s="325"/>
      <c r="GM38" s="325"/>
      <c r="GN38" s="325"/>
      <c r="GO38" s="325"/>
      <c r="GP38" s="325"/>
      <c r="GQ38" s="325"/>
      <c r="GR38" s="325"/>
      <c r="GS38" s="325"/>
      <c r="GT38" s="325"/>
      <c r="GU38" s="325"/>
      <c r="GV38" s="325"/>
      <c r="GW38" s="325"/>
      <c r="GX38" s="325"/>
      <c r="GY38" s="325"/>
      <c r="GZ38" s="325"/>
      <c r="HA38" s="325"/>
      <c r="HB38" s="325"/>
      <c r="HC38" s="325"/>
      <c r="HD38" s="325"/>
      <c r="HE38" s="325"/>
      <c r="HF38" s="325"/>
      <c r="HG38" s="325"/>
      <c r="HH38" s="325"/>
      <c r="HI38" s="325"/>
      <c r="HJ38" s="325"/>
      <c r="HK38" s="325"/>
      <c r="HL38" s="325"/>
      <c r="HM38" s="325"/>
      <c r="HN38" s="325"/>
      <c r="HO38" s="325"/>
      <c r="HP38" s="325"/>
      <c r="HQ38" s="325"/>
      <c r="HR38" s="325"/>
      <c r="HS38" s="325"/>
      <c r="HT38" s="325"/>
      <c r="HU38" s="325"/>
      <c r="HV38" s="325"/>
      <c r="HW38" s="325"/>
      <c r="HX38" s="325"/>
      <c r="HY38" s="325"/>
      <c r="HZ38" s="325"/>
      <c r="IA38" s="325"/>
      <c r="IB38" s="325"/>
      <c r="IC38" s="325"/>
      <c r="ID38" s="325"/>
      <c r="IE38" s="325"/>
      <c r="IF38" s="325"/>
      <c r="IG38" s="325"/>
      <c r="IH38" s="325"/>
      <c r="II38" s="325"/>
      <c r="IJ38" s="325"/>
      <c r="IK38" s="325"/>
      <c r="IL38" s="325"/>
      <c r="IM38" s="325"/>
      <c r="IN38" s="325"/>
      <c r="IO38" s="325"/>
      <c r="IP38" s="325"/>
      <c r="IQ38" s="325"/>
      <c r="IR38" s="325"/>
    </row>
    <row r="39" spans="1:252" ht="15">
      <c r="A39" s="292"/>
      <c r="B39" s="294"/>
      <c r="C39" s="292"/>
      <c r="D39" s="321"/>
      <c r="E39" s="321"/>
      <c r="F39" s="321"/>
      <c r="G39" s="321"/>
      <c r="H39" s="321"/>
      <c r="I39" s="292"/>
      <c r="J39" s="292"/>
      <c r="K39" s="315"/>
      <c r="L39" s="315"/>
      <c r="M39" s="315"/>
      <c r="N39" s="315"/>
      <c r="O39" s="315"/>
      <c r="P39" s="315"/>
      <c r="Q39" s="315"/>
      <c r="R39" s="315"/>
      <c r="S39" s="315"/>
      <c r="T39" s="315"/>
      <c r="U39" s="315"/>
      <c r="V39" s="315"/>
      <c r="W39" s="315"/>
      <c r="X39" s="315"/>
      <c r="Y39" s="315"/>
      <c r="Z39" s="315"/>
      <c r="AA39" s="315"/>
      <c r="AB39" s="315"/>
      <c r="AC39" s="315"/>
      <c r="AD39" s="315"/>
      <c r="AE39" s="315"/>
      <c r="AF39" s="315"/>
      <c r="AG39" s="315"/>
      <c r="AH39" s="315"/>
      <c r="AI39" s="315"/>
      <c r="AJ39" s="315"/>
      <c r="AK39" s="315"/>
      <c r="AL39" s="315"/>
      <c r="AM39" s="315"/>
      <c r="AN39" s="315"/>
      <c r="AO39" s="315"/>
      <c r="AP39" s="315"/>
      <c r="AQ39" s="315"/>
      <c r="AR39" s="315"/>
      <c r="AS39" s="315"/>
      <c r="AT39" s="315"/>
      <c r="AU39" s="315"/>
      <c r="AV39" s="315"/>
      <c r="AW39" s="315"/>
      <c r="AX39" s="315"/>
      <c r="AY39" s="315"/>
      <c r="AZ39" s="315"/>
      <c r="BA39" s="315"/>
      <c r="BB39" s="315"/>
      <c r="BC39" s="315"/>
      <c r="BD39" s="315"/>
      <c r="BE39" s="315"/>
      <c r="BF39" s="315"/>
      <c r="BG39" s="315"/>
      <c r="BH39" s="315"/>
      <c r="BI39" s="315"/>
      <c r="BJ39" s="315"/>
      <c r="BK39" s="315"/>
      <c r="BL39" s="315"/>
      <c r="BM39" s="315"/>
      <c r="BN39" s="315"/>
      <c r="BO39" s="315"/>
      <c r="BP39" s="315"/>
      <c r="BQ39" s="315"/>
      <c r="BR39" s="315"/>
      <c r="BS39" s="315"/>
      <c r="BT39" s="315"/>
      <c r="BU39" s="315"/>
      <c r="BV39" s="315"/>
      <c r="BW39" s="315"/>
      <c r="BX39" s="315"/>
      <c r="BY39" s="315"/>
      <c r="BZ39" s="315"/>
      <c r="CA39" s="315"/>
      <c r="CB39" s="315"/>
      <c r="CC39" s="315"/>
      <c r="CD39" s="315"/>
      <c r="CE39" s="315"/>
      <c r="CF39" s="315"/>
      <c r="CG39" s="315"/>
      <c r="CH39" s="315"/>
      <c r="CI39" s="315"/>
      <c r="CJ39" s="315"/>
      <c r="CK39" s="315"/>
      <c r="CL39" s="315"/>
      <c r="CM39" s="315"/>
      <c r="CN39" s="315"/>
      <c r="CO39" s="315"/>
      <c r="CP39" s="315"/>
      <c r="CQ39" s="315"/>
      <c r="CR39" s="315"/>
      <c r="CS39" s="315"/>
      <c r="CT39" s="315"/>
      <c r="CU39" s="315"/>
      <c r="CV39" s="315"/>
      <c r="CW39" s="315"/>
      <c r="CX39" s="315"/>
      <c r="CY39" s="315"/>
      <c r="CZ39" s="315"/>
      <c r="DA39" s="315"/>
      <c r="DB39" s="315"/>
      <c r="DC39" s="315"/>
      <c r="DD39" s="315"/>
      <c r="DE39" s="315"/>
      <c r="DF39" s="315"/>
      <c r="DG39" s="315"/>
      <c r="DH39" s="315"/>
      <c r="DI39" s="315"/>
      <c r="DJ39" s="315"/>
      <c r="DK39" s="315"/>
      <c r="DL39" s="315"/>
      <c r="DM39" s="315"/>
      <c r="DN39" s="315"/>
      <c r="DO39" s="315"/>
      <c r="DP39" s="315"/>
      <c r="DQ39" s="315"/>
      <c r="DR39" s="315"/>
      <c r="DS39" s="315"/>
      <c r="DT39" s="315"/>
      <c r="DU39" s="315"/>
      <c r="DV39" s="315"/>
      <c r="DW39" s="315"/>
      <c r="DX39" s="315"/>
      <c r="DY39" s="315"/>
      <c r="DZ39" s="315"/>
      <c r="EA39" s="315"/>
      <c r="EB39" s="315"/>
      <c r="EC39" s="315"/>
      <c r="ED39" s="315"/>
      <c r="EE39" s="315"/>
      <c r="EF39" s="315"/>
      <c r="EG39" s="315"/>
      <c r="EH39" s="315"/>
      <c r="EI39" s="315"/>
      <c r="EJ39" s="315"/>
      <c r="EK39" s="315"/>
      <c r="EL39" s="315"/>
      <c r="EM39" s="315"/>
      <c r="EN39" s="315"/>
      <c r="EO39" s="315"/>
      <c r="EP39" s="315"/>
      <c r="EQ39" s="315"/>
      <c r="ER39" s="315"/>
      <c r="ES39" s="315"/>
      <c r="ET39" s="315"/>
      <c r="EU39" s="315"/>
      <c r="EV39" s="315"/>
      <c r="EW39" s="315"/>
      <c r="EX39" s="315"/>
      <c r="EY39" s="315"/>
      <c r="EZ39" s="315"/>
      <c r="FA39" s="315"/>
      <c r="FB39" s="315"/>
      <c r="FC39" s="315"/>
      <c r="FD39" s="315"/>
      <c r="FE39" s="315"/>
      <c r="FF39" s="315"/>
      <c r="FG39" s="315"/>
      <c r="FH39" s="315"/>
      <c r="FI39" s="315"/>
      <c r="FJ39" s="315"/>
      <c r="FK39" s="315"/>
      <c r="FL39" s="315"/>
      <c r="FM39" s="315"/>
      <c r="FN39" s="315"/>
      <c r="FO39" s="315"/>
      <c r="FP39" s="315"/>
      <c r="FQ39" s="315"/>
      <c r="FR39" s="315"/>
      <c r="FS39" s="315"/>
      <c r="FT39" s="315"/>
      <c r="FU39" s="315"/>
      <c r="FV39" s="315"/>
      <c r="FW39" s="315"/>
      <c r="FX39" s="315"/>
      <c r="FY39" s="315"/>
      <c r="FZ39" s="315"/>
      <c r="GA39" s="315"/>
      <c r="GB39" s="315"/>
      <c r="GC39" s="315"/>
      <c r="GD39" s="315"/>
      <c r="GE39" s="315"/>
      <c r="GF39" s="315"/>
      <c r="GG39" s="315"/>
      <c r="GH39" s="315"/>
      <c r="GI39" s="315"/>
      <c r="GJ39" s="315"/>
      <c r="GK39" s="315"/>
      <c r="GL39" s="315"/>
      <c r="GM39" s="315"/>
      <c r="GN39" s="315"/>
      <c r="GO39" s="315"/>
      <c r="GP39" s="315"/>
      <c r="GQ39" s="315"/>
      <c r="GR39" s="315"/>
      <c r="GS39" s="315"/>
      <c r="GT39" s="315"/>
      <c r="GU39" s="315"/>
      <c r="GV39" s="315"/>
      <c r="GW39" s="315"/>
      <c r="GX39" s="315"/>
      <c r="GY39" s="315"/>
      <c r="GZ39" s="315"/>
      <c r="HA39" s="315"/>
      <c r="HB39" s="315"/>
      <c r="HC39" s="315"/>
      <c r="HD39" s="315"/>
      <c r="HE39" s="315"/>
      <c r="HF39" s="315"/>
      <c r="HG39" s="315"/>
      <c r="HH39" s="315"/>
      <c r="HI39" s="315"/>
      <c r="HJ39" s="315"/>
      <c r="HK39" s="315"/>
      <c r="HL39" s="315"/>
      <c r="HM39" s="315"/>
      <c r="HN39" s="315"/>
      <c r="HO39" s="315"/>
      <c r="HP39" s="315"/>
      <c r="HQ39" s="315"/>
      <c r="HR39" s="315"/>
      <c r="HS39" s="315"/>
      <c r="HT39" s="315"/>
      <c r="HU39" s="315"/>
      <c r="HV39" s="315"/>
      <c r="HW39" s="315"/>
      <c r="HX39" s="315"/>
      <c r="HY39" s="315"/>
      <c r="HZ39" s="315"/>
      <c r="IA39" s="315"/>
      <c r="IB39" s="315"/>
      <c r="IC39" s="315"/>
      <c r="ID39" s="315"/>
      <c r="IE39" s="315"/>
      <c r="IF39" s="315"/>
      <c r="IG39" s="315"/>
      <c r="IH39" s="315"/>
      <c r="II39" s="315"/>
      <c r="IJ39" s="315"/>
      <c r="IK39" s="315"/>
      <c r="IL39" s="315"/>
      <c r="IM39" s="315"/>
      <c r="IN39" s="315"/>
      <c r="IO39" s="315"/>
      <c r="IP39" s="315"/>
      <c r="IQ39" s="315"/>
      <c r="IR39" s="315"/>
    </row>
    <row r="40" spans="1:252" ht="15">
      <c r="A40" s="292"/>
      <c r="B40" s="316" t="str">
        <f>'Balance Sheet Ann'!E25</f>
        <v>Retained Earnings</v>
      </c>
      <c r="C40" s="292"/>
      <c r="D40" s="321">
        <f ca="1">'Balance Sheet Ann'!J25</f>
        <v>1569195.781413353</v>
      </c>
      <c r="E40" s="321">
        <f ca="1">'Balance Sheet Ann'!K25</f>
        <v>15546226.417618219</v>
      </c>
      <c r="F40" s="321">
        <f ca="1">'Balance Sheet Ann'!L25</f>
        <v>44665399.637570739</v>
      </c>
      <c r="G40" s="321">
        <f ca="1">'Balance Sheet Ann'!M25</f>
        <v>111753699.20434938</v>
      </c>
      <c r="H40" s="321">
        <f ca="1">'Balance Sheet Ann'!N25</f>
        <v>255482005.61535621</v>
      </c>
      <c r="I40" s="292"/>
      <c r="J40" s="292"/>
      <c r="K40" s="315"/>
      <c r="L40" s="315"/>
      <c r="M40" s="315"/>
      <c r="N40" s="315"/>
      <c r="O40" s="315"/>
      <c r="P40" s="315"/>
      <c r="Q40" s="315"/>
      <c r="R40" s="315"/>
      <c r="S40" s="315"/>
      <c r="T40" s="315"/>
      <c r="U40" s="315"/>
      <c r="V40" s="315"/>
      <c r="W40" s="315"/>
      <c r="X40" s="315"/>
      <c r="Y40" s="315"/>
      <c r="Z40" s="315"/>
      <c r="AA40" s="315"/>
      <c r="AB40" s="315"/>
      <c r="AC40" s="315"/>
      <c r="AD40" s="315"/>
      <c r="AE40" s="315"/>
      <c r="AF40" s="315"/>
      <c r="AG40" s="315"/>
      <c r="AH40" s="315"/>
      <c r="AI40" s="315"/>
      <c r="AJ40" s="315"/>
      <c r="AK40" s="315"/>
      <c r="AL40" s="315"/>
      <c r="AM40" s="315"/>
      <c r="AN40" s="315"/>
      <c r="AO40" s="315"/>
      <c r="AP40" s="315"/>
      <c r="AQ40" s="315"/>
      <c r="AR40" s="315"/>
      <c r="AS40" s="315"/>
      <c r="AT40" s="315"/>
      <c r="AU40" s="315"/>
      <c r="AV40" s="315"/>
      <c r="AW40" s="315"/>
      <c r="AX40" s="315"/>
      <c r="AY40" s="315"/>
      <c r="AZ40" s="315"/>
      <c r="BA40" s="315"/>
      <c r="BB40" s="315"/>
      <c r="BC40" s="315"/>
      <c r="BD40" s="315"/>
      <c r="BE40" s="315"/>
      <c r="BF40" s="315"/>
      <c r="BG40" s="315"/>
      <c r="BH40" s="315"/>
      <c r="BI40" s="315"/>
      <c r="BJ40" s="315"/>
      <c r="BK40" s="315"/>
      <c r="BL40" s="315"/>
      <c r="BM40" s="315"/>
      <c r="BN40" s="315"/>
      <c r="BO40" s="315"/>
      <c r="BP40" s="315"/>
      <c r="BQ40" s="315"/>
      <c r="BR40" s="315"/>
      <c r="BS40" s="315"/>
      <c r="BT40" s="315"/>
      <c r="BU40" s="315"/>
      <c r="BV40" s="315"/>
      <c r="BW40" s="315"/>
      <c r="BX40" s="315"/>
      <c r="BY40" s="315"/>
      <c r="BZ40" s="315"/>
      <c r="CA40" s="315"/>
      <c r="CB40" s="315"/>
      <c r="CC40" s="315"/>
      <c r="CD40" s="315"/>
      <c r="CE40" s="315"/>
      <c r="CF40" s="315"/>
      <c r="CG40" s="315"/>
      <c r="CH40" s="315"/>
      <c r="CI40" s="315"/>
      <c r="CJ40" s="315"/>
      <c r="CK40" s="315"/>
      <c r="CL40" s="315"/>
      <c r="CM40" s="315"/>
      <c r="CN40" s="315"/>
      <c r="CO40" s="315"/>
      <c r="CP40" s="315"/>
      <c r="CQ40" s="315"/>
      <c r="CR40" s="315"/>
      <c r="CS40" s="315"/>
      <c r="CT40" s="315"/>
      <c r="CU40" s="315"/>
      <c r="CV40" s="315"/>
      <c r="CW40" s="315"/>
      <c r="CX40" s="315"/>
      <c r="CY40" s="315"/>
      <c r="CZ40" s="315"/>
      <c r="DA40" s="315"/>
      <c r="DB40" s="315"/>
      <c r="DC40" s="315"/>
      <c r="DD40" s="315"/>
      <c r="DE40" s="315"/>
      <c r="DF40" s="315"/>
      <c r="DG40" s="315"/>
      <c r="DH40" s="315"/>
      <c r="DI40" s="315"/>
      <c r="DJ40" s="315"/>
      <c r="DK40" s="315"/>
      <c r="DL40" s="315"/>
      <c r="DM40" s="315"/>
      <c r="DN40" s="315"/>
      <c r="DO40" s="315"/>
      <c r="DP40" s="315"/>
      <c r="DQ40" s="315"/>
      <c r="DR40" s="315"/>
      <c r="DS40" s="315"/>
      <c r="DT40" s="315"/>
      <c r="DU40" s="315"/>
      <c r="DV40" s="315"/>
      <c r="DW40" s="315"/>
      <c r="DX40" s="315"/>
      <c r="DY40" s="315"/>
      <c r="DZ40" s="315"/>
      <c r="EA40" s="315"/>
      <c r="EB40" s="315"/>
      <c r="EC40" s="315"/>
      <c r="ED40" s="315"/>
      <c r="EE40" s="315"/>
      <c r="EF40" s="315"/>
      <c r="EG40" s="315"/>
      <c r="EH40" s="315"/>
      <c r="EI40" s="315"/>
      <c r="EJ40" s="315"/>
      <c r="EK40" s="315"/>
      <c r="EL40" s="315"/>
      <c r="EM40" s="315"/>
      <c r="EN40" s="315"/>
      <c r="EO40" s="315"/>
      <c r="EP40" s="315"/>
      <c r="EQ40" s="315"/>
      <c r="ER40" s="315"/>
      <c r="ES40" s="315"/>
      <c r="ET40" s="315"/>
      <c r="EU40" s="315"/>
      <c r="EV40" s="315"/>
      <c r="EW40" s="315"/>
      <c r="EX40" s="315"/>
      <c r="EY40" s="315"/>
      <c r="EZ40" s="315"/>
      <c r="FA40" s="315"/>
      <c r="FB40" s="315"/>
      <c r="FC40" s="315"/>
      <c r="FD40" s="315"/>
      <c r="FE40" s="315"/>
      <c r="FF40" s="315"/>
      <c r="FG40" s="315"/>
      <c r="FH40" s="315"/>
      <c r="FI40" s="315"/>
      <c r="FJ40" s="315"/>
      <c r="FK40" s="315"/>
      <c r="FL40" s="315"/>
      <c r="FM40" s="315"/>
      <c r="FN40" s="315"/>
      <c r="FO40" s="315"/>
      <c r="FP40" s="315"/>
      <c r="FQ40" s="315"/>
      <c r="FR40" s="315"/>
      <c r="FS40" s="315"/>
      <c r="FT40" s="315"/>
      <c r="FU40" s="315"/>
      <c r="FV40" s="315"/>
      <c r="FW40" s="315"/>
      <c r="FX40" s="315"/>
      <c r="FY40" s="315"/>
      <c r="FZ40" s="315"/>
      <c r="GA40" s="315"/>
      <c r="GB40" s="315"/>
      <c r="GC40" s="315"/>
      <c r="GD40" s="315"/>
      <c r="GE40" s="315"/>
      <c r="GF40" s="315"/>
      <c r="GG40" s="315"/>
      <c r="GH40" s="315"/>
      <c r="GI40" s="315"/>
      <c r="GJ40" s="315"/>
      <c r="GK40" s="315"/>
      <c r="GL40" s="315"/>
      <c r="GM40" s="315"/>
      <c r="GN40" s="315"/>
      <c r="GO40" s="315"/>
      <c r="GP40" s="315"/>
      <c r="GQ40" s="315"/>
      <c r="GR40" s="315"/>
      <c r="GS40" s="315"/>
      <c r="GT40" s="315"/>
      <c r="GU40" s="315"/>
      <c r="GV40" s="315"/>
      <c r="GW40" s="315"/>
      <c r="GX40" s="315"/>
      <c r="GY40" s="315"/>
      <c r="GZ40" s="315"/>
      <c r="HA40" s="315"/>
      <c r="HB40" s="315"/>
      <c r="HC40" s="315"/>
      <c r="HD40" s="315"/>
      <c r="HE40" s="315"/>
      <c r="HF40" s="315"/>
      <c r="HG40" s="315"/>
      <c r="HH40" s="315"/>
      <c r="HI40" s="315"/>
      <c r="HJ40" s="315"/>
      <c r="HK40" s="315"/>
      <c r="HL40" s="315"/>
      <c r="HM40" s="315"/>
      <c r="HN40" s="315"/>
      <c r="HO40" s="315"/>
      <c r="HP40" s="315"/>
      <c r="HQ40" s="315"/>
      <c r="HR40" s="315"/>
      <c r="HS40" s="315"/>
      <c r="HT40" s="315"/>
      <c r="HU40" s="315"/>
      <c r="HV40" s="315"/>
      <c r="HW40" s="315"/>
      <c r="HX40" s="315"/>
      <c r="HY40" s="315"/>
      <c r="HZ40" s="315"/>
      <c r="IA40" s="315"/>
      <c r="IB40" s="315"/>
      <c r="IC40" s="315"/>
      <c r="ID40" s="315"/>
      <c r="IE40" s="315"/>
      <c r="IF40" s="315"/>
      <c r="IG40" s="315"/>
      <c r="IH40" s="315"/>
      <c r="II40" s="315"/>
      <c r="IJ40" s="315"/>
      <c r="IK40" s="315"/>
      <c r="IL40" s="315"/>
      <c r="IM40" s="315"/>
      <c r="IN40" s="315"/>
      <c r="IO40" s="315"/>
      <c r="IP40" s="315"/>
      <c r="IQ40" s="315"/>
      <c r="IR40" s="315"/>
    </row>
    <row r="41" spans="1:252" ht="15">
      <c r="A41" s="292"/>
      <c r="B41" s="316" t="str">
        <f>'Balance Sheet Ann'!E26</f>
        <v>Share Capital</v>
      </c>
      <c r="C41" s="292"/>
      <c r="D41" s="321">
        <f>'Balance Sheet Ann'!J26</f>
        <v>0</v>
      </c>
      <c r="E41" s="321">
        <f>'Balance Sheet Ann'!K26</f>
        <v>0</v>
      </c>
      <c r="F41" s="321">
        <f>'Balance Sheet Ann'!L26</f>
        <v>0</v>
      </c>
      <c r="G41" s="321">
        <f>'Balance Sheet Ann'!M26</f>
        <v>0</v>
      </c>
      <c r="H41" s="321">
        <f>'Balance Sheet Ann'!N26</f>
        <v>0</v>
      </c>
      <c r="I41" s="292"/>
      <c r="J41" s="292"/>
      <c r="K41" s="315"/>
      <c r="L41" s="315"/>
      <c r="M41" s="315"/>
      <c r="N41" s="315"/>
      <c r="O41" s="315"/>
      <c r="P41" s="315"/>
      <c r="Q41" s="315"/>
      <c r="R41" s="315"/>
      <c r="S41" s="315"/>
      <c r="T41" s="315"/>
      <c r="U41" s="315"/>
      <c r="V41" s="315"/>
      <c r="W41" s="315"/>
      <c r="X41" s="315"/>
      <c r="Y41" s="315"/>
      <c r="Z41" s="315"/>
      <c r="AA41" s="315"/>
      <c r="AB41" s="315"/>
      <c r="AC41" s="315"/>
      <c r="AD41" s="315"/>
      <c r="AE41" s="315"/>
      <c r="AF41" s="315"/>
      <c r="AG41" s="315"/>
      <c r="AH41" s="315"/>
      <c r="AI41" s="315"/>
      <c r="AJ41" s="315"/>
      <c r="AK41" s="315"/>
      <c r="AL41" s="315"/>
      <c r="AM41" s="315"/>
      <c r="AN41" s="315"/>
      <c r="AO41" s="315"/>
      <c r="AP41" s="315"/>
      <c r="AQ41" s="315"/>
      <c r="AR41" s="315"/>
      <c r="AS41" s="315"/>
      <c r="AT41" s="315"/>
      <c r="AU41" s="315"/>
      <c r="AV41" s="315"/>
      <c r="AW41" s="315"/>
      <c r="AX41" s="315"/>
      <c r="AY41" s="315"/>
      <c r="AZ41" s="315"/>
      <c r="BA41" s="315"/>
      <c r="BB41" s="315"/>
      <c r="BC41" s="315"/>
      <c r="BD41" s="315"/>
      <c r="BE41" s="315"/>
      <c r="BF41" s="315"/>
      <c r="BG41" s="315"/>
      <c r="BH41" s="315"/>
      <c r="BI41" s="315"/>
      <c r="BJ41" s="315"/>
      <c r="BK41" s="315"/>
      <c r="BL41" s="315"/>
      <c r="BM41" s="315"/>
      <c r="BN41" s="315"/>
      <c r="BO41" s="315"/>
      <c r="BP41" s="315"/>
      <c r="BQ41" s="315"/>
      <c r="BR41" s="315"/>
      <c r="BS41" s="315"/>
      <c r="BT41" s="315"/>
      <c r="BU41" s="315"/>
      <c r="BV41" s="315"/>
      <c r="BW41" s="315"/>
      <c r="BX41" s="315"/>
      <c r="BY41" s="315"/>
      <c r="BZ41" s="315"/>
      <c r="CA41" s="315"/>
      <c r="CB41" s="315"/>
      <c r="CC41" s="315"/>
      <c r="CD41" s="315"/>
      <c r="CE41" s="315"/>
      <c r="CF41" s="315"/>
      <c r="CG41" s="315"/>
      <c r="CH41" s="315"/>
      <c r="CI41" s="315"/>
      <c r="CJ41" s="315"/>
      <c r="CK41" s="315"/>
      <c r="CL41" s="315"/>
      <c r="CM41" s="315"/>
      <c r="CN41" s="315"/>
      <c r="CO41" s="315"/>
      <c r="CP41" s="315"/>
      <c r="CQ41" s="315"/>
      <c r="CR41" s="315"/>
      <c r="CS41" s="315"/>
      <c r="CT41" s="315"/>
      <c r="CU41" s="315"/>
      <c r="CV41" s="315"/>
      <c r="CW41" s="315"/>
      <c r="CX41" s="315"/>
      <c r="CY41" s="315"/>
      <c r="CZ41" s="315"/>
      <c r="DA41" s="315"/>
      <c r="DB41" s="315"/>
      <c r="DC41" s="315"/>
      <c r="DD41" s="315"/>
      <c r="DE41" s="315"/>
      <c r="DF41" s="315"/>
      <c r="DG41" s="315"/>
      <c r="DH41" s="315"/>
      <c r="DI41" s="315"/>
      <c r="DJ41" s="315"/>
      <c r="DK41" s="315"/>
      <c r="DL41" s="315"/>
      <c r="DM41" s="315"/>
      <c r="DN41" s="315"/>
      <c r="DO41" s="315"/>
      <c r="DP41" s="315"/>
      <c r="DQ41" s="315"/>
      <c r="DR41" s="315"/>
      <c r="DS41" s="315"/>
      <c r="DT41" s="315"/>
      <c r="DU41" s="315"/>
      <c r="DV41" s="315"/>
      <c r="DW41" s="315"/>
      <c r="DX41" s="315"/>
      <c r="DY41" s="315"/>
      <c r="DZ41" s="315"/>
      <c r="EA41" s="315"/>
      <c r="EB41" s="315"/>
      <c r="EC41" s="315"/>
      <c r="ED41" s="315"/>
      <c r="EE41" s="315"/>
      <c r="EF41" s="315"/>
      <c r="EG41" s="315"/>
      <c r="EH41" s="315"/>
      <c r="EI41" s="315"/>
      <c r="EJ41" s="315"/>
      <c r="EK41" s="315"/>
      <c r="EL41" s="315"/>
      <c r="EM41" s="315"/>
      <c r="EN41" s="315"/>
      <c r="EO41" s="315"/>
      <c r="EP41" s="315"/>
      <c r="EQ41" s="315"/>
      <c r="ER41" s="315"/>
      <c r="ES41" s="315"/>
      <c r="ET41" s="315"/>
      <c r="EU41" s="315"/>
      <c r="EV41" s="315"/>
      <c r="EW41" s="315"/>
      <c r="EX41" s="315"/>
      <c r="EY41" s="315"/>
      <c r="EZ41" s="315"/>
      <c r="FA41" s="315"/>
      <c r="FB41" s="315"/>
      <c r="FC41" s="315"/>
      <c r="FD41" s="315"/>
      <c r="FE41" s="315"/>
      <c r="FF41" s="315"/>
      <c r="FG41" s="315"/>
      <c r="FH41" s="315"/>
      <c r="FI41" s="315"/>
      <c r="FJ41" s="315"/>
      <c r="FK41" s="315"/>
      <c r="FL41" s="315"/>
      <c r="FM41" s="315"/>
      <c r="FN41" s="315"/>
      <c r="FO41" s="315"/>
      <c r="FP41" s="315"/>
      <c r="FQ41" s="315"/>
      <c r="FR41" s="315"/>
      <c r="FS41" s="315"/>
      <c r="FT41" s="315"/>
      <c r="FU41" s="315"/>
      <c r="FV41" s="315"/>
      <c r="FW41" s="315"/>
      <c r="FX41" s="315"/>
      <c r="FY41" s="315"/>
      <c r="FZ41" s="315"/>
      <c r="GA41" s="315"/>
      <c r="GB41" s="315"/>
      <c r="GC41" s="315"/>
      <c r="GD41" s="315"/>
      <c r="GE41" s="315"/>
      <c r="GF41" s="315"/>
      <c r="GG41" s="315"/>
      <c r="GH41" s="315"/>
      <c r="GI41" s="315"/>
      <c r="GJ41" s="315"/>
      <c r="GK41" s="315"/>
      <c r="GL41" s="315"/>
      <c r="GM41" s="315"/>
      <c r="GN41" s="315"/>
      <c r="GO41" s="315"/>
      <c r="GP41" s="315"/>
      <c r="GQ41" s="315"/>
      <c r="GR41" s="315"/>
      <c r="GS41" s="315"/>
      <c r="GT41" s="315"/>
      <c r="GU41" s="315"/>
      <c r="GV41" s="315"/>
      <c r="GW41" s="315"/>
      <c r="GX41" s="315"/>
      <c r="GY41" s="315"/>
      <c r="GZ41" s="315"/>
      <c r="HA41" s="315"/>
      <c r="HB41" s="315"/>
      <c r="HC41" s="315"/>
      <c r="HD41" s="315"/>
      <c r="HE41" s="315"/>
      <c r="HF41" s="315"/>
      <c r="HG41" s="315"/>
      <c r="HH41" s="315"/>
      <c r="HI41" s="315"/>
      <c r="HJ41" s="315"/>
      <c r="HK41" s="315"/>
      <c r="HL41" s="315"/>
      <c r="HM41" s="315"/>
      <c r="HN41" s="315"/>
      <c r="HO41" s="315"/>
      <c r="HP41" s="315"/>
      <c r="HQ41" s="315"/>
      <c r="HR41" s="315"/>
      <c r="HS41" s="315"/>
      <c r="HT41" s="315"/>
      <c r="HU41" s="315"/>
      <c r="HV41" s="315"/>
      <c r="HW41" s="315"/>
      <c r="HX41" s="315"/>
      <c r="HY41" s="315"/>
      <c r="HZ41" s="315"/>
      <c r="IA41" s="315"/>
      <c r="IB41" s="315"/>
      <c r="IC41" s="315"/>
      <c r="ID41" s="315"/>
      <c r="IE41" s="315"/>
      <c r="IF41" s="315"/>
      <c r="IG41" s="315"/>
      <c r="IH41" s="315"/>
      <c r="II41" s="315"/>
      <c r="IJ41" s="315"/>
      <c r="IK41" s="315"/>
      <c r="IL41" s="315"/>
      <c r="IM41" s="315"/>
      <c r="IN41" s="315"/>
      <c r="IO41" s="315"/>
      <c r="IP41" s="315"/>
      <c r="IQ41" s="315"/>
      <c r="IR41" s="315"/>
    </row>
    <row r="42" spans="1:252" ht="15">
      <c r="A42" s="292"/>
      <c r="B42" s="327" t="str">
        <f>'Balance Sheet Ann'!E27</f>
        <v>Shareholder Equity</v>
      </c>
      <c r="C42" s="323"/>
      <c r="D42" s="324">
        <f ca="1">'Balance Sheet Ann'!J27</f>
        <v>1569195.781413353</v>
      </c>
      <c r="E42" s="324">
        <f ca="1">'Balance Sheet Ann'!K27</f>
        <v>15546226.417618219</v>
      </c>
      <c r="F42" s="324">
        <f ca="1">'Balance Sheet Ann'!L27</f>
        <v>44665399.637570739</v>
      </c>
      <c r="G42" s="324">
        <f ca="1">'Balance Sheet Ann'!M27</f>
        <v>111753699.20434938</v>
      </c>
      <c r="H42" s="324">
        <f ca="1">'Balance Sheet Ann'!N27</f>
        <v>255482005.61535621</v>
      </c>
      <c r="I42" s="292"/>
      <c r="J42" s="292"/>
      <c r="K42" s="315"/>
      <c r="L42" s="315"/>
      <c r="M42" s="315"/>
      <c r="N42" s="315"/>
      <c r="O42" s="315"/>
      <c r="P42" s="315"/>
      <c r="Q42" s="315"/>
      <c r="R42" s="315"/>
      <c r="S42" s="315"/>
      <c r="T42" s="315"/>
      <c r="U42" s="315"/>
      <c r="V42" s="315"/>
      <c r="W42" s="315"/>
      <c r="X42" s="315"/>
      <c r="Y42" s="315"/>
      <c r="Z42" s="315"/>
      <c r="AA42" s="315"/>
      <c r="AB42" s="315"/>
      <c r="AC42" s="315"/>
      <c r="AD42" s="315"/>
      <c r="AE42" s="315"/>
      <c r="AF42" s="315"/>
      <c r="AG42" s="315"/>
      <c r="AH42" s="315"/>
      <c r="AI42" s="315"/>
      <c r="AJ42" s="315"/>
      <c r="AK42" s="315"/>
      <c r="AL42" s="315"/>
      <c r="AM42" s="315"/>
      <c r="AN42" s="315"/>
      <c r="AO42" s="315"/>
      <c r="AP42" s="315"/>
      <c r="AQ42" s="315"/>
      <c r="AR42" s="315"/>
      <c r="AS42" s="315"/>
      <c r="AT42" s="315"/>
      <c r="AU42" s="315"/>
      <c r="AV42" s="315"/>
      <c r="AW42" s="315"/>
      <c r="AX42" s="315"/>
      <c r="AY42" s="315"/>
      <c r="AZ42" s="315"/>
      <c r="BA42" s="315"/>
      <c r="BB42" s="315"/>
      <c r="BC42" s="315"/>
      <c r="BD42" s="315"/>
      <c r="BE42" s="315"/>
      <c r="BF42" s="315"/>
      <c r="BG42" s="315"/>
      <c r="BH42" s="315"/>
      <c r="BI42" s="315"/>
      <c r="BJ42" s="315"/>
      <c r="BK42" s="315"/>
      <c r="BL42" s="315"/>
      <c r="BM42" s="315"/>
      <c r="BN42" s="315"/>
      <c r="BO42" s="315"/>
      <c r="BP42" s="315"/>
      <c r="BQ42" s="315"/>
      <c r="BR42" s="315"/>
      <c r="BS42" s="315"/>
      <c r="BT42" s="315"/>
      <c r="BU42" s="315"/>
      <c r="BV42" s="315"/>
      <c r="BW42" s="315"/>
      <c r="BX42" s="315"/>
      <c r="BY42" s="315"/>
      <c r="BZ42" s="315"/>
      <c r="CA42" s="315"/>
      <c r="CB42" s="315"/>
      <c r="CC42" s="315"/>
      <c r="CD42" s="315"/>
      <c r="CE42" s="315"/>
      <c r="CF42" s="315"/>
      <c r="CG42" s="315"/>
      <c r="CH42" s="315"/>
      <c r="CI42" s="315"/>
      <c r="CJ42" s="315"/>
      <c r="CK42" s="315"/>
      <c r="CL42" s="315"/>
      <c r="CM42" s="315"/>
      <c r="CN42" s="315"/>
      <c r="CO42" s="315"/>
      <c r="CP42" s="315"/>
      <c r="CQ42" s="315"/>
      <c r="CR42" s="315"/>
      <c r="CS42" s="315"/>
      <c r="CT42" s="315"/>
      <c r="CU42" s="315"/>
      <c r="CV42" s="315"/>
      <c r="CW42" s="315"/>
      <c r="CX42" s="315"/>
      <c r="CY42" s="315"/>
      <c r="CZ42" s="315"/>
      <c r="DA42" s="315"/>
      <c r="DB42" s="315"/>
      <c r="DC42" s="315"/>
      <c r="DD42" s="315"/>
      <c r="DE42" s="315"/>
      <c r="DF42" s="315"/>
      <c r="DG42" s="315"/>
      <c r="DH42" s="315"/>
      <c r="DI42" s="315"/>
      <c r="DJ42" s="315"/>
      <c r="DK42" s="315"/>
      <c r="DL42" s="315"/>
      <c r="DM42" s="315"/>
      <c r="DN42" s="315"/>
      <c r="DO42" s="315"/>
      <c r="DP42" s="315"/>
      <c r="DQ42" s="315"/>
      <c r="DR42" s="315"/>
      <c r="DS42" s="315"/>
      <c r="DT42" s="315"/>
      <c r="DU42" s="315"/>
      <c r="DV42" s="315"/>
      <c r="DW42" s="315"/>
      <c r="DX42" s="315"/>
      <c r="DY42" s="315"/>
      <c r="DZ42" s="315"/>
      <c r="EA42" s="315"/>
      <c r="EB42" s="315"/>
      <c r="EC42" s="315"/>
      <c r="ED42" s="315"/>
      <c r="EE42" s="315"/>
      <c r="EF42" s="315"/>
      <c r="EG42" s="315"/>
      <c r="EH42" s="315"/>
      <c r="EI42" s="315"/>
      <c r="EJ42" s="315"/>
      <c r="EK42" s="315"/>
      <c r="EL42" s="315"/>
      <c r="EM42" s="315"/>
      <c r="EN42" s="315"/>
      <c r="EO42" s="315"/>
      <c r="EP42" s="315"/>
      <c r="EQ42" s="315"/>
      <c r="ER42" s="315"/>
      <c r="ES42" s="315"/>
      <c r="ET42" s="315"/>
      <c r="EU42" s="315"/>
      <c r="EV42" s="315"/>
      <c r="EW42" s="315"/>
      <c r="EX42" s="315"/>
      <c r="EY42" s="315"/>
      <c r="EZ42" s="315"/>
      <c r="FA42" s="315"/>
      <c r="FB42" s="315"/>
      <c r="FC42" s="315"/>
      <c r="FD42" s="315"/>
      <c r="FE42" s="315"/>
      <c r="FF42" s="315"/>
      <c r="FG42" s="315"/>
      <c r="FH42" s="315"/>
      <c r="FI42" s="315"/>
      <c r="FJ42" s="315"/>
      <c r="FK42" s="315"/>
      <c r="FL42" s="315"/>
      <c r="FM42" s="315"/>
      <c r="FN42" s="315"/>
      <c r="FO42" s="315"/>
      <c r="FP42" s="315"/>
      <c r="FQ42" s="315"/>
      <c r="FR42" s="315"/>
      <c r="FS42" s="315"/>
      <c r="FT42" s="315"/>
      <c r="FU42" s="315"/>
      <c r="FV42" s="315"/>
      <c r="FW42" s="315"/>
      <c r="FX42" s="315"/>
      <c r="FY42" s="315"/>
      <c r="FZ42" s="315"/>
      <c r="GA42" s="315"/>
      <c r="GB42" s="315"/>
      <c r="GC42" s="315"/>
      <c r="GD42" s="315"/>
      <c r="GE42" s="315"/>
      <c r="GF42" s="315"/>
      <c r="GG42" s="315"/>
      <c r="GH42" s="315"/>
      <c r="GI42" s="315"/>
      <c r="GJ42" s="315"/>
      <c r="GK42" s="315"/>
      <c r="GL42" s="315"/>
      <c r="GM42" s="315"/>
      <c r="GN42" s="315"/>
      <c r="GO42" s="315"/>
      <c r="GP42" s="315"/>
      <c r="GQ42" s="315"/>
      <c r="GR42" s="315"/>
      <c r="GS42" s="315"/>
      <c r="GT42" s="315"/>
      <c r="GU42" s="315"/>
      <c r="GV42" s="315"/>
      <c r="GW42" s="315"/>
      <c r="GX42" s="315"/>
      <c r="GY42" s="315"/>
      <c r="GZ42" s="315"/>
      <c r="HA42" s="315"/>
      <c r="HB42" s="315"/>
      <c r="HC42" s="315"/>
      <c r="HD42" s="315"/>
      <c r="HE42" s="315"/>
      <c r="HF42" s="315"/>
      <c r="HG42" s="315"/>
      <c r="HH42" s="315"/>
      <c r="HI42" s="315"/>
      <c r="HJ42" s="315"/>
      <c r="HK42" s="315"/>
      <c r="HL42" s="315"/>
      <c r="HM42" s="315"/>
      <c r="HN42" s="315"/>
      <c r="HO42" s="315"/>
      <c r="HP42" s="315"/>
      <c r="HQ42" s="315"/>
      <c r="HR42" s="315"/>
      <c r="HS42" s="315"/>
      <c r="HT42" s="315"/>
      <c r="HU42" s="315"/>
      <c r="HV42" s="315"/>
      <c r="HW42" s="315"/>
      <c r="HX42" s="315"/>
      <c r="HY42" s="315"/>
      <c r="HZ42" s="315"/>
      <c r="IA42" s="315"/>
      <c r="IB42" s="315"/>
      <c r="IC42" s="315"/>
      <c r="ID42" s="315"/>
      <c r="IE42" s="315"/>
      <c r="IF42" s="315"/>
      <c r="IG42" s="315"/>
      <c r="IH42" s="315"/>
      <c r="II42" s="315"/>
      <c r="IJ42" s="315"/>
      <c r="IK42" s="315"/>
      <c r="IL42" s="315"/>
      <c r="IM42" s="315"/>
      <c r="IN42" s="315"/>
      <c r="IO42" s="315"/>
      <c r="IP42" s="315"/>
      <c r="IQ42" s="315"/>
      <c r="IR42" s="315"/>
    </row>
    <row r="43" spans="1:252" ht="15">
      <c r="A43" s="292"/>
      <c r="B43" s="294"/>
      <c r="C43" s="292"/>
      <c r="D43" s="321"/>
      <c r="E43" s="321"/>
      <c r="F43" s="321"/>
      <c r="G43" s="321"/>
      <c r="H43" s="321"/>
      <c r="I43" s="292"/>
      <c r="J43" s="292"/>
      <c r="K43" s="315"/>
      <c r="L43" s="315"/>
      <c r="M43" s="315"/>
      <c r="N43" s="315"/>
      <c r="O43" s="315"/>
      <c r="P43" s="315"/>
      <c r="Q43" s="315"/>
      <c r="R43" s="315"/>
      <c r="S43" s="315"/>
      <c r="T43" s="315"/>
      <c r="U43" s="315"/>
      <c r="V43" s="315"/>
      <c r="W43" s="315"/>
      <c r="X43" s="315"/>
      <c r="Y43" s="315"/>
      <c r="Z43" s="315"/>
      <c r="AA43" s="315"/>
      <c r="AB43" s="315"/>
      <c r="AC43" s="315"/>
      <c r="AD43" s="315"/>
      <c r="AE43" s="315"/>
      <c r="AF43" s="315"/>
      <c r="AG43" s="315"/>
      <c r="AH43" s="315"/>
      <c r="AI43" s="315"/>
      <c r="AJ43" s="315"/>
      <c r="AK43" s="315"/>
      <c r="AL43" s="315"/>
      <c r="AM43" s="315"/>
      <c r="AN43" s="315"/>
      <c r="AO43" s="315"/>
      <c r="AP43" s="315"/>
      <c r="AQ43" s="315"/>
      <c r="AR43" s="315"/>
      <c r="AS43" s="315"/>
      <c r="AT43" s="315"/>
      <c r="AU43" s="315"/>
      <c r="AV43" s="315"/>
      <c r="AW43" s="315"/>
      <c r="AX43" s="315"/>
      <c r="AY43" s="315"/>
      <c r="AZ43" s="315"/>
      <c r="BA43" s="315"/>
      <c r="BB43" s="315"/>
      <c r="BC43" s="315"/>
      <c r="BD43" s="315"/>
      <c r="BE43" s="315"/>
      <c r="BF43" s="315"/>
      <c r="BG43" s="315"/>
      <c r="BH43" s="315"/>
      <c r="BI43" s="315"/>
      <c r="BJ43" s="315"/>
      <c r="BK43" s="315"/>
      <c r="BL43" s="315"/>
      <c r="BM43" s="315"/>
      <c r="BN43" s="315"/>
      <c r="BO43" s="315"/>
      <c r="BP43" s="315"/>
      <c r="BQ43" s="315"/>
      <c r="BR43" s="315"/>
      <c r="BS43" s="315"/>
      <c r="BT43" s="315"/>
      <c r="BU43" s="315"/>
      <c r="BV43" s="315"/>
      <c r="BW43" s="315"/>
      <c r="BX43" s="315"/>
      <c r="BY43" s="315"/>
      <c r="BZ43" s="315"/>
      <c r="CA43" s="315"/>
      <c r="CB43" s="315"/>
      <c r="CC43" s="315"/>
      <c r="CD43" s="315"/>
      <c r="CE43" s="315"/>
      <c r="CF43" s="315"/>
      <c r="CG43" s="315"/>
      <c r="CH43" s="315"/>
      <c r="CI43" s="315"/>
      <c r="CJ43" s="315"/>
      <c r="CK43" s="315"/>
      <c r="CL43" s="315"/>
      <c r="CM43" s="315"/>
      <c r="CN43" s="315"/>
      <c r="CO43" s="315"/>
      <c r="CP43" s="315"/>
      <c r="CQ43" s="315"/>
      <c r="CR43" s="315"/>
      <c r="CS43" s="315"/>
      <c r="CT43" s="315"/>
      <c r="CU43" s="315"/>
      <c r="CV43" s="315"/>
      <c r="CW43" s="315"/>
      <c r="CX43" s="315"/>
      <c r="CY43" s="315"/>
      <c r="CZ43" s="315"/>
      <c r="DA43" s="315"/>
      <c r="DB43" s="315"/>
      <c r="DC43" s="315"/>
      <c r="DD43" s="315"/>
      <c r="DE43" s="315"/>
      <c r="DF43" s="315"/>
      <c r="DG43" s="315"/>
      <c r="DH43" s="315"/>
      <c r="DI43" s="315"/>
      <c r="DJ43" s="315"/>
      <c r="DK43" s="315"/>
      <c r="DL43" s="315"/>
      <c r="DM43" s="315"/>
      <c r="DN43" s="315"/>
      <c r="DO43" s="315"/>
      <c r="DP43" s="315"/>
      <c r="DQ43" s="315"/>
      <c r="DR43" s="315"/>
      <c r="DS43" s="315"/>
      <c r="DT43" s="315"/>
      <c r="DU43" s="315"/>
      <c r="DV43" s="315"/>
      <c r="DW43" s="315"/>
      <c r="DX43" s="315"/>
      <c r="DY43" s="315"/>
      <c r="DZ43" s="315"/>
      <c r="EA43" s="315"/>
      <c r="EB43" s="315"/>
      <c r="EC43" s="315"/>
      <c r="ED43" s="315"/>
      <c r="EE43" s="315"/>
      <c r="EF43" s="315"/>
      <c r="EG43" s="315"/>
      <c r="EH43" s="315"/>
      <c r="EI43" s="315"/>
      <c r="EJ43" s="315"/>
      <c r="EK43" s="315"/>
      <c r="EL43" s="315"/>
      <c r="EM43" s="315"/>
      <c r="EN43" s="315"/>
      <c r="EO43" s="315"/>
      <c r="EP43" s="315"/>
      <c r="EQ43" s="315"/>
      <c r="ER43" s="315"/>
      <c r="ES43" s="315"/>
      <c r="ET43" s="315"/>
      <c r="EU43" s="315"/>
      <c r="EV43" s="315"/>
      <c r="EW43" s="315"/>
      <c r="EX43" s="315"/>
      <c r="EY43" s="315"/>
      <c r="EZ43" s="315"/>
      <c r="FA43" s="315"/>
      <c r="FB43" s="315"/>
      <c r="FC43" s="315"/>
      <c r="FD43" s="315"/>
      <c r="FE43" s="315"/>
      <c r="FF43" s="315"/>
      <c r="FG43" s="315"/>
      <c r="FH43" s="315"/>
      <c r="FI43" s="315"/>
      <c r="FJ43" s="315"/>
      <c r="FK43" s="315"/>
      <c r="FL43" s="315"/>
      <c r="FM43" s="315"/>
      <c r="FN43" s="315"/>
      <c r="FO43" s="315"/>
      <c r="FP43" s="315"/>
      <c r="FQ43" s="315"/>
      <c r="FR43" s="315"/>
      <c r="FS43" s="315"/>
      <c r="FT43" s="315"/>
      <c r="FU43" s="315"/>
      <c r="FV43" s="315"/>
      <c r="FW43" s="315"/>
      <c r="FX43" s="315"/>
      <c r="FY43" s="315"/>
      <c r="FZ43" s="315"/>
      <c r="GA43" s="315"/>
      <c r="GB43" s="315"/>
      <c r="GC43" s="315"/>
      <c r="GD43" s="315"/>
      <c r="GE43" s="315"/>
      <c r="GF43" s="315"/>
      <c r="GG43" s="315"/>
      <c r="GH43" s="315"/>
      <c r="GI43" s="315"/>
      <c r="GJ43" s="315"/>
      <c r="GK43" s="315"/>
      <c r="GL43" s="315"/>
      <c r="GM43" s="315"/>
      <c r="GN43" s="315"/>
      <c r="GO43" s="315"/>
      <c r="GP43" s="315"/>
      <c r="GQ43" s="315"/>
      <c r="GR43" s="315"/>
      <c r="GS43" s="315"/>
      <c r="GT43" s="315"/>
      <c r="GU43" s="315"/>
      <c r="GV43" s="315"/>
      <c r="GW43" s="315"/>
      <c r="GX43" s="315"/>
      <c r="GY43" s="315"/>
      <c r="GZ43" s="315"/>
      <c r="HA43" s="315"/>
      <c r="HB43" s="315"/>
      <c r="HC43" s="315"/>
      <c r="HD43" s="315"/>
      <c r="HE43" s="315"/>
      <c r="HF43" s="315"/>
      <c r="HG43" s="315"/>
      <c r="HH43" s="315"/>
      <c r="HI43" s="315"/>
      <c r="HJ43" s="315"/>
      <c r="HK43" s="315"/>
      <c r="HL43" s="315"/>
      <c r="HM43" s="315"/>
      <c r="HN43" s="315"/>
      <c r="HO43" s="315"/>
      <c r="HP43" s="315"/>
      <c r="HQ43" s="315"/>
      <c r="HR43" s="315"/>
      <c r="HS43" s="315"/>
      <c r="HT43" s="315"/>
      <c r="HU43" s="315"/>
      <c r="HV43" s="315"/>
      <c r="HW43" s="315"/>
      <c r="HX43" s="315"/>
      <c r="HY43" s="315"/>
      <c r="HZ43" s="315"/>
      <c r="IA43" s="315"/>
      <c r="IB43" s="315"/>
      <c r="IC43" s="315"/>
      <c r="ID43" s="315"/>
      <c r="IE43" s="315"/>
      <c r="IF43" s="315"/>
      <c r="IG43" s="315"/>
      <c r="IH43" s="315"/>
      <c r="II43" s="315"/>
      <c r="IJ43" s="315"/>
      <c r="IK43" s="315"/>
      <c r="IL43" s="315"/>
      <c r="IM43" s="315"/>
      <c r="IN43" s="315"/>
      <c r="IO43" s="315"/>
      <c r="IP43" s="315"/>
      <c r="IQ43" s="315"/>
      <c r="IR43" s="315"/>
    </row>
    <row r="44" spans="1:252" ht="15">
      <c r="A44" s="292"/>
      <c r="B44" s="292"/>
      <c r="C44" s="292"/>
      <c r="D44" s="319"/>
      <c r="E44" s="319"/>
      <c r="F44" s="319"/>
      <c r="G44" s="319"/>
      <c r="H44" s="319"/>
      <c r="I44" s="292"/>
      <c r="J44" s="292"/>
      <c r="K44" s="315"/>
      <c r="L44" s="315"/>
      <c r="M44" s="315"/>
      <c r="N44" s="315"/>
      <c r="O44" s="315"/>
      <c r="P44" s="315"/>
      <c r="Q44" s="315"/>
      <c r="R44" s="315"/>
      <c r="S44" s="315"/>
      <c r="T44" s="315"/>
      <c r="U44" s="315"/>
      <c r="V44" s="315"/>
      <c r="W44" s="315"/>
      <c r="X44" s="315"/>
      <c r="Y44" s="315"/>
      <c r="Z44" s="315"/>
      <c r="AA44" s="315"/>
      <c r="AB44" s="315"/>
      <c r="AC44" s="315"/>
      <c r="AD44" s="315"/>
      <c r="AE44" s="315"/>
      <c r="AF44" s="315"/>
      <c r="AG44" s="315"/>
      <c r="AH44" s="315"/>
      <c r="AI44" s="315"/>
      <c r="AJ44" s="315"/>
      <c r="AK44" s="315"/>
      <c r="AL44" s="315"/>
      <c r="AM44" s="315"/>
      <c r="AN44" s="315"/>
      <c r="AO44" s="315"/>
      <c r="AP44" s="315"/>
      <c r="AQ44" s="315"/>
      <c r="AR44" s="315"/>
      <c r="AS44" s="315"/>
      <c r="AT44" s="315"/>
      <c r="AU44" s="315"/>
      <c r="AV44" s="315"/>
      <c r="AW44" s="315"/>
      <c r="AX44" s="315"/>
      <c r="AY44" s="315"/>
      <c r="AZ44" s="315"/>
      <c r="BA44" s="315"/>
      <c r="BB44" s="315"/>
      <c r="BC44" s="315"/>
      <c r="BD44" s="315"/>
      <c r="BE44" s="315"/>
      <c r="BF44" s="315"/>
      <c r="BG44" s="315"/>
      <c r="BH44" s="315"/>
      <c r="BI44" s="315"/>
      <c r="BJ44" s="315"/>
      <c r="BK44" s="315"/>
      <c r="BL44" s="315"/>
      <c r="BM44" s="315"/>
      <c r="BN44" s="315"/>
      <c r="BO44" s="315"/>
      <c r="BP44" s="315"/>
      <c r="BQ44" s="315"/>
      <c r="BR44" s="315"/>
      <c r="BS44" s="315"/>
      <c r="BT44" s="315"/>
      <c r="BU44" s="315"/>
      <c r="BV44" s="315"/>
      <c r="BW44" s="315"/>
      <c r="BX44" s="315"/>
      <c r="BY44" s="315"/>
      <c r="BZ44" s="315"/>
      <c r="CA44" s="315"/>
      <c r="CB44" s="315"/>
      <c r="CC44" s="315"/>
      <c r="CD44" s="315"/>
      <c r="CE44" s="315"/>
      <c r="CF44" s="315"/>
      <c r="CG44" s="315"/>
      <c r="CH44" s="315"/>
      <c r="CI44" s="315"/>
      <c r="CJ44" s="315"/>
      <c r="CK44" s="315"/>
      <c r="CL44" s="315"/>
      <c r="CM44" s="315"/>
      <c r="CN44" s="315"/>
      <c r="CO44" s="315"/>
      <c r="CP44" s="315"/>
      <c r="CQ44" s="315"/>
      <c r="CR44" s="315"/>
      <c r="CS44" s="315"/>
      <c r="CT44" s="315"/>
      <c r="CU44" s="315"/>
      <c r="CV44" s="315"/>
      <c r="CW44" s="315"/>
      <c r="CX44" s="315"/>
      <c r="CY44" s="315"/>
      <c r="CZ44" s="315"/>
      <c r="DA44" s="315"/>
      <c r="DB44" s="315"/>
      <c r="DC44" s="315"/>
      <c r="DD44" s="315"/>
      <c r="DE44" s="315"/>
      <c r="DF44" s="315"/>
      <c r="DG44" s="315"/>
      <c r="DH44" s="315"/>
      <c r="DI44" s="315"/>
      <c r="DJ44" s="315"/>
      <c r="DK44" s="315"/>
      <c r="DL44" s="315"/>
      <c r="DM44" s="315"/>
      <c r="DN44" s="315"/>
      <c r="DO44" s="315"/>
      <c r="DP44" s="315"/>
      <c r="DQ44" s="315"/>
      <c r="DR44" s="315"/>
      <c r="DS44" s="315"/>
      <c r="DT44" s="315"/>
      <c r="DU44" s="315"/>
      <c r="DV44" s="315"/>
      <c r="DW44" s="315"/>
      <c r="DX44" s="315"/>
      <c r="DY44" s="315"/>
      <c r="DZ44" s="315"/>
      <c r="EA44" s="315"/>
      <c r="EB44" s="315"/>
      <c r="EC44" s="315"/>
      <c r="ED44" s="315"/>
      <c r="EE44" s="315"/>
      <c r="EF44" s="315"/>
      <c r="EG44" s="315"/>
      <c r="EH44" s="315"/>
      <c r="EI44" s="315"/>
      <c r="EJ44" s="315"/>
      <c r="EK44" s="315"/>
      <c r="EL44" s="315"/>
      <c r="EM44" s="315"/>
      <c r="EN44" s="315"/>
      <c r="EO44" s="315"/>
      <c r="EP44" s="315"/>
      <c r="EQ44" s="315"/>
      <c r="ER44" s="315"/>
      <c r="ES44" s="315"/>
      <c r="ET44" s="315"/>
      <c r="EU44" s="315"/>
      <c r="EV44" s="315"/>
      <c r="EW44" s="315"/>
      <c r="EX44" s="315"/>
      <c r="EY44" s="315"/>
      <c r="EZ44" s="315"/>
      <c r="FA44" s="315"/>
      <c r="FB44" s="315"/>
      <c r="FC44" s="315"/>
      <c r="FD44" s="315"/>
      <c r="FE44" s="315"/>
      <c r="FF44" s="315"/>
      <c r="FG44" s="315"/>
      <c r="FH44" s="315"/>
      <c r="FI44" s="315"/>
      <c r="FJ44" s="315"/>
      <c r="FK44" s="315"/>
      <c r="FL44" s="315"/>
      <c r="FM44" s="315"/>
      <c r="FN44" s="315"/>
      <c r="FO44" s="315"/>
      <c r="FP44" s="315"/>
      <c r="FQ44" s="315"/>
      <c r="FR44" s="315"/>
      <c r="FS44" s="315"/>
      <c r="FT44" s="315"/>
      <c r="FU44" s="315"/>
      <c r="FV44" s="315"/>
      <c r="FW44" s="315"/>
      <c r="FX44" s="315"/>
      <c r="FY44" s="315"/>
      <c r="FZ44" s="315"/>
      <c r="GA44" s="315"/>
      <c r="GB44" s="315"/>
      <c r="GC44" s="315"/>
      <c r="GD44" s="315"/>
      <c r="GE44" s="315"/>
      <c r="GF44" s="315"/>
      <c r="GG44" s="315"/>
      <c r="GH44" s="315"/>
      <c r="GI44" s="315"/>
      <c r="GJ44" s="315"/>
      <c r="GK44" s="315"/>
      <c r="GL44" s="315"/>
      <c r="GM44" s="315"/>
      <c r="GN44" s="315"/>
      <c r="GO44" s="315"/>
      <c r="GP44" s="315"/>
      <c r="GQ44" s="315"/>
      <c r="GR44" s="315"/>
      <c r="GS44" s="315"/>
      <c r="GT44" s="315"/>
      <c r="GU44" s="315"/>
      <c r="GV44" s="315"/>
      <c r="GW44" s="315"/>
      <c r="GX44" s="315"/>
      <c r="GY44" s="315"/>
      <c r="GZ44" s="315"/>
      <c r="HA44" s="315"/>
      <c r="HB44" s="315"/>
      <c r="HC44" s="315"/>
      <c r="HD44" s="315"/>
      <c r="HE44" s="315"/>
      <c r="HF44" s="315"/>
      <c r="HG44" s="315"/>
      <c r="HH44" s="315"/>
      <c r="HI44" s="315"/>
      <c r="HJ44" s="315"/>
      <c r="HK44" s="315"/>
      <c r="HL44" s="315"/>
      <c r="HM44" s="315"/>
      <c r="HN44" s="315"/>
      <c r="HO44" s="315"/>
      <c r="HP44" s="315"/>
      <c r="HQ44" s="315"/>
      <c r="HR44" s="315"/>
      <c r="HS44" s="315"/>
      <c r="HT44" s="315"/>
      <c r="HU44" s="315"/>
      <c r="HV44" s="315"/>
      <c r="HW44" s="315"/>
      <c r="HX44" s="315"/>
      <c r="HY44" s="315"/>
      <c r="HZ44" s="315"/>
      <c r="IA44" s="315"/>
      <c r="IB44" s="315"/>
      <c r="IC44" s="315"/>
      <c r="ID44" s="315"/>
      <c r="IE44" s="315"/>
      <c r="IF44" s="315"/>
      <c r="IG44" s="315"/>
      <c r="IH44" s="315"/>
      <c r="II44" s="315"/>
      <c r="IJ44" s="315"/>
      <c r="IK44" s="315"/>
      <c r="IL44" s="315"/>
      <c r="IM44" s="315"/>
      <c r="IN44" s="315"/>
      <c r="IO44" s="315"/>
      <c r="IP44" s="315"/>
      <c r="IQ44" s="315"/>
      <c r="IR44" s="315"/>
    </row>
    <row r="45" spans="1:252" s="326" customFormat="1" ht="14.5">
      <c r="A45" s="325"/>
      <c r="B45" s="317" t="s">
        <v>489</v>
      </c>
      <c r="C45" s="328"/>
      <c r="D45" s="318">
        <f>'Cashflow Ann'!J2</f>
        <v>45412</v>
      </c>
      <c r="E45" s="318">
        <f>'Cashflow Ann'!K2</f>
        <v>45777</v>
      </c>
      <c r="F45" s="318">
        <f>'Cashflow Ann'!L2</f>
        <v>46142</v>
      </c>
      <c r="G45" s="318">
        <f>'Cashflow Ann'!M2</f>
        <v>46507</v>
      </c>
      <c r="H45" s="318">
        <f>'Cashflow Ann'!N2</f>
        <v>46873</v>
      </c>
      <c r="I45" s="325"/>
      <c r="J45" s="325"/>
      <c r="K45" s="325"/>
      <c r="L45" s="325"/>
      <c r="M45" s="325"/>
      <c r="N45" s="325"/>
      <c r="O45" s="325"/>
      <c r="P45" s="325"/>
      <c r="Q45" s="325"/>
      <c r="R45" s="325"/>
      <c r="S45" s="325"/>
      <c r="T45" s="325"/>
      <c r="U45" s="325"/>
      <c r="V45" s="325"/>
      <c r="W45" s="325"/>
      <c r="X45" s="325"/>
      <c r="Y45" s="325"/>
      <c r="Z45" s="325"/>
      <c r="AA45" s="325"/>
      <c r="AB45" s="325"/>
      <c r="AC45" s="325"/>
      <c r="AD45" s="325"/>
      <c r="AE45" s="325"/>
      <c r="AF45" s="325"/>
      <c r="AG45" s="325"/>
      <c r="AH45" s="325"/>
      <c r="AI45" s="325"/>
      <c r="AJ45" s="325"/>
      <c r="AK45" s="325"/>
      <c r="AL45" s="325"/>
      <c r="AM45" s="325"/>
      <c r="AN45" s="325"/>
      <c r="AO45" s="325"/>
      <c r="AP45" s="325"/>
      <c r="AQ45" s="325"/>
      <c r="AR45" s="325"/>
      <c r="AS45" s="325"/>
      <c r="AT45" s="325"/>
      <c r="AU45" s="325"/>
      <c r="AV45" s="325"/>
      <c r="AW45" s="325"/>
      <c r="AX45" s="325"/>
      <c r="AY45" s="325"/>
      <c r="AZ45" s="325"/>
      <c r="BA45" s="325"/>
      <c r="BB45" s="325"/>
      <c r="BC45" s="325"/>
      <c r="BD45" s="325"/>
      <c r="BE45" s="325"/>
      <c r="BF45" s="325"/>
      <c r="BG45" s="325"/>
      <c r="BH45" s="325"/>
      <c r="BI45" s="325"/>
      <c r="BJ45" s="325"/>
      <c r="BK45" s="325"/>
      <c r="BL45" s="325"/>
      <c r="BM45" s="325"/>
      <c r="BN45" s="325"/>
      <c r="BO45" s="325"/>
      <c r="BP45" s="325"/>
      <c r="BQ45" s="325"/>
      <c r="BR45" s="325"/>
      <c r="BS45" s="325"/>
      <c r="BT45" s="325"/>
      <c r="BU45" s="325"/>
      <c r="BV45" s="325"/>
      <c r="BW45" s="325"/>
      <c r="BX45" s="325"/>
      <c r="BY45" s="325"/>
      <c r="BZ45" s="325"/>
      <c r="CA45" s="325"/>
      <c r="CB45" s="325"/>
      <c r="CC45" s="325"/>
      <c r="CD45" s="325"/>
      <c r="CE45" s="325"/>
      <c r="CF45" s="325"/>
      <c r="CG45" s="325"/>
      <c r="CH45" s="325"/>
      <c r="CI45" s="325"/>
      <c r="CJ45" s="325"/>
      <c r="CK45" s="325"/>
      <c r="CL45" s="325"/>
      <c r="CM45" s="325"/>
      <c r="CN45" s="325"/>
      <c r="CO45" s="325"/>
      <c r="CP45" s="325"/>
      <c r="CQ45" s="325"/>
      <c r="CR45" s="325"/>
      <c r="CS45" s="325"/>
      <c r="CT45" s="325"/>
      <c r="CU45" s="325"/>
      <c r="CV45" s="325"/>
      <c r="CW45" s="325"/>
      <c r="CX45" s="325"/>
      <c r="CY45" s="325"/>
      <c r="CZ45" s="325"/>
      <c r="DA45" s="325"/>
      <c r="DB45" s="325"/>
      <c r="DC45" s="325"/>
      <c r="DD45" s="325"/>
      <c r="DE45" s="325"/>
      <c r="DF45" s="325"/>
      <c r="DG45" s="325"/>
      <c r="DH45" s="325"/>
      <c r="DI45" s="325"/>
      <c r="DJ45" s="325"/>
      <c r="DK45" s="325"/>
      <c r="DL45" s="325"/>
      <c r="DM45" s="325"/>
      <c r="DN45" s="325"/>
      <c r="DO45" s="325"/>
      <c r="DP45" s="325"/>
      <c r="DQ45" s="325"/>
      <c r="DR45" s="325"/>
      <c r="DS45" s="325"/>
      <c r="DT45" s="325"/>
      <c r="DU45" s="325"/>
      <c r="DV45" s="325"/>
      <c r="DW45" s="325"/>
      <c r="DX45" s="325"/>
      <c r="DY45" s="325"/>
      <c r="DZ45" s="325"/>
      <c r="EA45" s="325"/>
      <c r="EB45" s="325"/>
      <c r="EC45" s="325"/>
      <c r="ED45" s="325"/>
      <c r="EE45" s="325"/>
      <c r="EF45" s="325"/>
      <c r="EG45" s="325"/>
      <c r="EH45" s="325"/>
      <c r="EI45" s="325"/>
      <c r="EJ45" s="325"/>
      <c r="EK45" s="325"/>
      <c r="EL45" s="325"/>
      <c r="EM45" s="325"/>
      <c r="EN45" s="325"/>
      <c r="EO45" s="325"/>
      <c r="EP45" s="325"/>
      <c r="EQ45" s="325"/>
      <c r="ER45" s="325"/>
      <c r="ES45" s="325"/>
      <c r="ET45" s="325"/>
      <c r="EU45" s="325"/>
      <c r="EV45" s="325"/>
      <c r="EW45" s="325"/>
      <c r="EX45" s="325"/>
      <c r="EY45" s="325"/>
      <c r="EZ45" s="325"/>
      <c r="FA45" s="325"/>
      <c r="FB45" s="325"/>
      <c r="FC45" s="325"/>
      <c r="FD45" s="325"/>
      <c r="FE45" s="325"/>
      <c r="FF45" s="325"/>
      <c r="FG45" s="325"/>
      <c r="FH45" s="325"/>
      <c r="FI45" s="325"/>
      <c r="FJ45" s="325"/>
      <c r="FK45" s="325"/>
      <c r="FL45" s="325"/>
      <c r="FM45" s="325"/>
      <c r="FN45" s="325"/>
      <c r="FO45" s="325"/>
      <c r="FP45" s="325"/>
      <c r="FQ45" s="325"/>
      <c r="FR45" s="325"/>
      <c r="FS45" s="325"/>
      <c r="FT45" s="325"/>
      <c r="FU45" s="325"/>
      <c r="FV45" s="325"/>
      <c r="FW45" s="325"/>
      <c r="FX45" s="325"/>
      <c r="FY45" s="325"/>
      <c r="FZ45" s="325"/>
      <c r="GA45" s="325"/>
      <c r="GB45" s="325"/>
      <c r="GC45" s="325"/>
      <c r="GD45" s="325"/>
      <c r="GE45" s="325"/>
      <c r="GF45" s="325"/>
      <c r="GG45" s="325"/>
      <c r="GH45" s="325"/>
      <c r="GI45" s="325"/>
      <c r="GJ45" s="325"/>
      <c r="GK45" s="325"/>
      <c r="GL45" s="325"/>
      <c r="GM45" s="325"/>
      <c r="GN45" s="325"/>
      <c r="GO45" s="325"/>
      <c r="GP45" s="325"/>
      <c r="GQ45" s="325"/>
      <c r="GR45" s="325"/>
      <c r="GS45" s="325"/>
      <c r="GT45" s="325"/>
      <c r="GU45" s="325"/>
      <c r="GV45" s="325"/>
      <c r="GW45" s="325"/>
      <c r="GX45" s="325"/>
      <c r="GY45" s="325"/>
      <c r="GZ45" s="325"/>
      <c r="HA45" s="325"/>
      <c r="HB45" s="325"/>
      <c r="HC45" s="325"/>
      <c r="HD45" s="325"/>
      <c r="HE45" s="325"/>
      <c r="HF45" s="325"/>
      <c r="HG45" s="325"/>
      <c r="HH45" s="325"/>
      <c r="HI45" s="325"/>
      <c r="HJ45" s="325"/>
      <c r="HK45" s="325"/>
      <c r="HL45" s="325"/>
      <c r="HM45" s="325"/>
      <c r="HN45" s="325"/>
      <c r="HO45" s="325"/>
      <c r="HP45" s="325"/>
      <c r="HQ45" s="325"/>
      <c r="HR45" s="325"/>
      <c r="HS45" s="325"/>
      <c r="HT45" s="325"/>
      <c r="HU45" s="325"/>
      <c r="HV45" s="325"/>
      <c r="HW45" s="325"/>
      <c r="HX45" s="325"/>
      <c r="HY45" s="325"/>
      <c r="HZ45" s="325"/>
      <c r="IA45" s="325"/>
      <c r="IB45" s="325"/>
      <c r="IC45" s="325"/>
      <c r="ID45" s="325"/>
      <c r="IE45" s="325"/>
      <c r="IF45" s="325"/>
      <c r="IG45" s="325"/>
      <c r="IH45" s="325"/>
      <c r="II45" s="325"/>
      <c r="IJ45" s="325"/>
      <c r="IK45" s="325"/>
      <c r="IL45" s="325"/>
      <c r="IM45" s="325"/>
      <c r="IN45" s="325"/>
      <c r="IO45" s="325"/>
      <c r="IP45" s="325"/>
      <c r="IQ45" s="325"/>
      <c r="IR45" s="325"/>
    </row>
    <row r="46" spans="1:252" ht="15">
      <c r="A46" s="292"/>
      <c r="B46" s="292"/>
      <c r="C46" s="292"/>
      <c r="D46" s="319"/>
      <c r="E46" s="319"/>
      <c r="F46" s="319"/>
      <c r="G46" s="319"/>
      <c r="H46" s="319"/>
      <c r="I46" s="292"/>
      <c r="J46" s="292"/>
      <c r="K46" s="315"/>
      <c r="L46" s="315"/>
      <c r="M46" s="315"/>
      <c r="N46" s="315"/>
      <c r="O46" s="315"/>
      <c r="P46" s="315"/>
      <c r="Q46" s="315"/>
      <c r="R46" s="315"/>
      <c r="S46" s="315"/>
      <c r="T46" s="315"/>
      <c r="U46" s="315"/>
      <c r="V46" s="315"/>
      <c r="W46" s="315"/>
      <c r="X46" s="315"/>
      <c r="Y46" s="315"/>
      <c r="Z46" s="315"/>
      <c r="AA46" s="315"/>
      <c r="AB46" s="315"/>
      <c r="AC46" s="315"/>
      <c r="AD46" s="315"/>
      <c r="AE46" s="315"/>
      <c r="AF46" s="315"/>
      <c r="AG46" s="315"/>
      <c r="AH46" s="315"/>
      <c r="AI46" s="315"/>
      <c r="AJ46" s="315"/>
      <c r="AK46" s="315"/>
      <c r="AL46" s="315"/>
      <c r="AM46" s="315"/>
      <c r="AN46" s="315"/>
      <c r="AO46" s="315"/>
      <c r="AP46" s="315"/>
      <c r="AQ46" s="315"/>
      <c r="AR46" s="315"/>
      <c r="AS46" s="315"/>
      <c r="AT46" s="315"/>
      <c r="AU46" s="315"/>
      <c r="AV46" s="315"/>
      <c r="AW46" s="315"/>
      <c r="AX46" s="315"/>
      <c r="AY46" s="315"/>
      <c r="AZ46" s="315"/>
      <c r="BA46" s="315"/>
      <c r="BB46" s="315"/>
      <c r="BC46" s="315"/>
      <c r="BD46" s="315"/>
      <c r="BE46" s="315"/>
      <c r="BF46" s="315"/>
      <c r="BG46" s="315"/>
      <c r="BH46" s="315"/>
      <c r="BI46" s="315"/>
      <c r="BJ46" s="315"/>
      <c r="BK46" s="315"/>
      <c r="BL46" s="315"/>
      <c r="BM46" s="315"/>
      <c r="BN46" s="315"/>
      <c r="BO46" s="315"/>
      <c r="BP46" s="315"/>
      <c r="BQ46" s="315"/>
      <c r="BR46" s="315"/>
      <c r="BS46" s="315"/>
      <c r="BT46" s="315"/>
      <c r="BU46" s="315"/>
      <c r="BV46" s="315"/>
      <c r="BW46" s="315"/>
      <c r="BX46" s="315"/>
      <c r="BY46" s="315"/>
      <c r="BZ46" s="315"/>
      <c r="CA46" s="315"/>
      <c r="CB46" s="315"/>
      <c r="CC46" s="315"/>
      <c r="CD46" s="315"/>
      <c r="CE46" s="315"/>
      <c r="CF46" s="315"/>
      <c r="CG46" s="315"/>
      <c r="CH46" s="315"/>
      <c r="CI46" s="315"/>
      <c r="CJ46" s="315"/>
      <c r="CK46" s="315"/>
      <c r="CL46" s="315"/>
      <c r="CM46" s="315"/>
      <c r="CN46" s="315"/>
      <c r="CO46" s="315"/>
      <c r="CP46" s="315"/>
      <c r="CQ46" s="315"/>
      <c r="CR46" s="315"/>
      <c r="CS46" s="315"/>
      <c r="CT46" s="315"/>
      <c r="CU46" s="315"/>
      <c r="CV46" s="315"/>
      <c r="CW46" s="315"/>
      <c r="CX46" s="315"/>
      <c r="CY46" s="315"/>
      <c r="CZ46" s="315"/>
      <c r="DA46" s="315"/>
      <c r="DB46" s="315"/>
      <c r="DC46" s="315"/>
      <c r="DD46" s="315"/>
      <c r="DE46" s="315"/>
      <c r="DF46" s="315"/>
      <c r="DG46" s="315"/>
      <c r="DH46" s="315"/>
      <c r="DI46" s="315"/>
      <c r="DJ46" s="315"/>
      <c r="DK46" s="315"/>
      <c r="DL46" s="315"/>
      <c r="DM46" s="315"/>
      <c r="DN46" s="315"/>
      <c r="DO46" s="315"/>
      <c r="DP46" s="315"/>
      <c r="DQ46" s="315"/>
      <c r="DR46" s="315"/>
      <c r="DS46" s="315"/>
      <c r="DT46" s="315"/>
      <c r="DU46" s="315"/>
      <c r="DV46" s="315"/>
      <c r="DW46" s="315"/>
      <c r="DX46" s="315"/>
      <c r="DY46" s="315"/>
      <c r="DZ46" s="315"/>
      <c r="EA46" s="315"/>
      <c r="EB46" s="315"/>
      <c r="EC46" s="315"/>
      <c r="ED46" s="315"/>
      <c r="EE46" s="315"/>
      <c r="EF46" s="315"/>
      <c r="EG46" s="315"/>
      <c r="EH46" s="315"/>
      <c r="EI46" s="315"/>
      <c r="EJ46" s="315"/>
      <c r="EK46" s="315"/>
      <c r="EL46" s="315"/>
      <c r="EM46" s="315"/>
      <c r="EN46" s="315"/>
      <c r="EO46" s="315"/>
      <c r="EP46" s="315"/>
      <c r="EQ46" s="315"/>
      <c r="ER46" s="315"/>
      <c r="ES46" s="315"/>
      <c r="ET46" s="315"/>
      <c r="EU46" s="315"/>
      <c r="EV46" s="315"/>
      <c r="EW46" s="315"/>
      <c r="EX46" s="315"/>
      <c r="EY46" s="315"/>
      <c r="EZ46" s="315"/>
      <c r="FA46" s="315"/>
      <c r="FB46" s="315"/>
      <c r="FC46" s="315"/>
      <c r="FD46" s="315"/>
      <c r="FE46" s="315"/>
      <c r="FF46" s="315"/>
      <c r="FG46" s="315"/>
      <c r="FH46" s="315"/>
      <c r="FI46" s="315"/>
      <c r="FJ46" s="315"/>
      <c r="FK46" s="315"/>
      <c r="FL46" s="315"/>
      <c r="FM46" s="315"/>
      <c r="FN46" s="315"/>
      <c r="FO46" s="315"/>
      <c r="FP46" s="315"/>
      <c r="FQ46" s="315"/>
      <c r="FR46" s="315"/>
      <c r="FS46" s="315"/>
      <c r="FT46" s="315"/>
      <c r="FU46" s="315"/>
      <c r="FV46" s="315"/>
      <c r="FW46" s="315"/>
      <c r="FX46" s="315"/>
      <c r="FY46" s="315"/>
      <c r="FZ46" s="315"/>
      <c r="GA46" s="315"/>
      <c r="GB46" s="315"/>
      <c r="GC46" s="315"/>
      <c r="GD46" s="315"/>
      <c r="GE46" s="315"/>
      <c r="GF46" s="315"/>
      <c r="GG46" s="315"/>
      <c r="GH46" s="315"/>
      <c r="GI46" s="315"/>
      <c r="GJ46" s="315"/>
      <c r="GK46" s="315"/>
      <c r="GL46" s="315"/>
      <c r="GM46" s="315"/>
      <c r="GN46" s="315"/>
      <c r="GO46" s="315"/>
      <c r="GP46" s="315"/>
      <c r="GQ46" s="315"/>
      <c r="GR46" s="315"/>
      <c r="GS46" s="315"/>
      <c r="GT46" s="315"/>
      <c r="GU46" s="315"/>
      <c r="GV46" s="315"/>
      <c r="GW46" s="315"/>
      <c r="GX46" s="315"/>
      <c r="GY46" s="315"/>
      <c r="GZ46" s="315"/>
      <c r="HA46" s="315"/>
      <c r="HB46" s="315"/>
      <c r="HC46" s="315"/>
      <c r="HD46" s="315"/>
      <c r="HE46" s="315"/>
      <c r="HF46" s="315"/>
      <c r="HG46" s="315"/>
      <c r="HH46" s="315"/>
      <c r="HI46" s="315"/>
      <c r="HJ46" s="315"/>
      <c r="HK46" s="315"/>
      <c r="HL46" s="315"/>
      <c r="HM46" s="315"/>
      <c r="HN46" s="315"/>
      <c r="HO46" s="315"/>
      <c r="HP46" s="315"/>
      <c r="HQ46" s="315"/>
      <c r="HR46" s="315"/>
      <c r="HS46" s="315"/>
      <c r="HT46" s="315"/>
      <c r="HU46" s="315"/>
      <c r="HV46" s="315"/>
      <c r="HW46" s="315"/>
      <c r="HX46" s="315"/>
      <c r="HY46" s="315"/>
      <c r="HZ46" s="315"/>
      <c r="IA46" s="315"/>
      <c r="IB46" s="315"/>
      <c r="IC46" s="315"/>
      <c r="ID46" s="315"/>
      <c r="IE46" s="315"/>
      <c r="IF46" s="315"/>
      <c r="IG46" s="315"/>
      <c r="IH46" s="315"/>
      <c r="II46" s="315"/>
      <c r="IJ46" s="315"/>
      <c r="IK46" s="315"/>
      <c r="IL46" s="315"/>
      <c r="IM46" s="315"/>
      <c r="IN46" s="315"/>
      <c r="IO46" s="315"/>
      <c r="IP46" s="315"/>
      <c r="IQ46" s="315"/>
      <c r="IR46" s="315"/>
    </row>
    <row r="47" spans="1:252" ht="15">
      <c r="A47" s="292"/>
      <c r="B47" s="316" t="str">
        <f>'Cashflow Ann'!E8</f>
        <v>Cash in from Sales</v>
      </c>
      <c r="C47" s="292"/>
      <c r="D47" s="321">
        <f ca="1">'Cashflow Ann'!J8</f>
        <v>7560000</v>
      </c>
      <c r="E47" s="321">
        <f ca="1">'Cashflow Ann'!K8</f>
        <v>30240000</v>
      </c>
      <c r="F47" s="321">
        <f ca="1">'Cashflow Ann'!L8</f>
        <v>75600000</v>
      </c>
      <c r="G47" s="321">
        <f ca="1">'Cashflow Ann'!M8</f>
        <v>183960000</v>
      </c>
      <c r="H47" s="321">
        <f ca="1">'Cashflow Ann'!N8</f>
        <v>393120000</v>
      </c>
      <c r="I47" s="292"/>
      <c r="J47" s="292"/>
      <c r="K47" s="315"/>
      <c r="L47" s="315"/>
      <c r="M47" s="315"/>
      <c r="N47" s="315"/>
      <c r="O47" s="315"/>
      <c r="P47" s="315"/>
      <c r="Q47" s="315"/>
      <c r="R47" s="315"/>
      <c r="S47" s="315"/>
      <c r="T47" s="315"/>
      <c r="U47" s="315"/>
      <c r="V47" s="315"/>
      <c r="W47" s="315"/>
      <c r="X47" s="315"/>
      <c r="Y47" s="315"/>
      <c r="Z47" s="315"/>
      <c r="AA47" s="315"/>
      <c r="AB47" s="315"/>
      <c r="AC47" s="315"/>
      <c r="AD47" s="315"/>
      <c r="AE47" s="315"/>
      <c r="AF47" s="315"/>
      <c r="AG47" s="315"/>
      <c r="AH47" s="315"/>
      <c r="AI47" s="315"/>
      <c r="AJ47" s="315"/>
      <c r="AK47" s="315"/>
      <c r="AL47" s="315"/>
      <c r="AM47" s="315"/>
      <c r="AN47" s="315"/>
      <c r="AO47" s="315"/>
      <c r="AP47" s="315"/>
      <c r="AQ47" s="315"/>
      <c r="AR47" s="315"/>
      <c r="AS47" s="315"/>
      <c r="AT47" s="315"/>
      <c r="AU47" s="315"/>
      <c r="AV47" s="315"/>
      <c r="AW47" s="315"/>
      <c r="AX47" s="315"/>
      <c r="AY47" s="315"/>
      <c r="AZ47" s="315"/>
      <c r="BA47" s="315"/>
      <c r="BB47" s="315"/>
      <c r="BC47" s="315"/>
      <c r="BD47" s="315"/>
      <c r="BE47" s="315"/>
      <c r="BF47" s="315"/>
      <c r="BG47" s="315"/>
      <c r="BH47" s="315"/>
      <c r="BI47" s="315"/>
      <c r="BJ47" s="315"/>
      <c r="BK47" s="315"/>
      <c r="BL47" s="315"/>
      <c r="BM47" s="315"/>
      <c r="BN47" s="315"/>
      <c r="BO47" s="315"/>
      <c r="BP47" s="315"/>
      <c r="BQ47" s="315"/>
      <c r="BR47" s="315"/>
      <c r="BS47" s="315"/>
      <c r="BT47" s="315"/>
      <c r="BU47" s="315"/>
      <c r="BV47" s="315"/>
      <c r="BW47" s="315"/>
      <c r="BX47" s="315"/>
      <c r="BY47" s="315"/>
      <c r="BZ47" s="315"/>
      <c r="CA47" s="315"/>
      <c r="CB47" s="315"/>
      <c r="CC47" s="315"/>
      <c r="CD47" s="315"/>
      <c r="CE47" s="315"/>
      <c r="CF47" s="315"/>
      <c r="CG47" s="315"/>
      <c r="CH47" s="315"/>
      <c r="CI47" s="315"/>
      <c r="CJ47" s="315"/>
      <c r="CK47" s="315"/>
      <c r="CL47" s="315"/>
      <c r="CM47" s="315"/>
      <c r="CN47" s="315"/>
      <c r="CO47" s="315"/>
      <c r="CP47" s="315"/>
      <c r="CQ47" s="315"/>
      <c r="CR47" s="315"/>
      <c r="CS47" s="315"/>
      <c r="CT47" s="315"/>
      <c r="CU47" s="315"/>
      <c r="CV47" s="315"/>
      <c r="CW47" s="315"/>
      <c r="CX47" s="315"/>
      <c r="CY47" s="315"/>
      <c r="CZ47" s="315"/>
      <c r="DA47" s="315"/>
      <c r="DB47" s="315"/>
      <c r="DC47" s="315"/>
      <c r="DD47" s="315"/>
      <c r="DE47" s="315"/>
      <c r="DF47" s="315"/>
      <c r="DG47" s="315"/>
      <c r="DH47" s="315"/>
      <c r="DI47" s="315"/>
      <c r="DJ47" s="315"/>
      <c r="DK47" s="315"/>
      <c r="DL47" s="315"/>
      <c r="DM47" s="315"/>
      <c r="DN47" s="315"/>
      <c r="DO47" s="315"/>
      <c r="DP47" s="315"/>
      <c r="DQ47" s="315"/>
      <c r="DR47" s="315"/>
      <c r="DS47" s="315"/>
      <c r="DT47" s="315"/>
      <c r="DU47" s="315"/>
      <c r="DV47" s="315"/>
      <c r="DW47" s="315"/>
      <c r="DX47" s="315"/>
      <c r="DY47" s="315"/>
      <c r="DZ47" s="315"/>
      <c r="EA47" s="315"/>
      <c r="EB47" s="315"/>
      <c r="EC47" s="315"/>
      <c r="ED47" s="315"/>
      <c r="EE47" s="315"/>
      <c r="EF47" s="315"/>
      <c r="EG47" s="315"/>
      <c r="EH47" s="315"/>
      <c r="EI47" s="315"/>
      <c r="EJ47" s="315"/>
      <c r="EK47" s="315"/>
      <c r="EL47" s="315"/>
      <c r="EM47" s="315"/>
      <c r="EN47" s="315"/>
      <c r="EO47" s="315"/>
      <c r="EP47" s="315"/>
      <c r="EQ47" s="315"/>
      <c r="ER47" s="315"/>
      <c r="ES47" s="315"/>
      <c r="ET47" s="315"/>
      <c r="EU47" s="315"/>
      <c r="EV47" s="315"/>
      <c r="EW47" s="315"/>
      <c r="EX47" s="315"/>
      <c r="EY47" s="315"/>
      <c r="EZ47" s="315"/>
      <c r="FA47" s="315"/>
      <c r="FB47" s="315"/>
      <c r="FC47" s="315"/>
      <c r="FD47" s="315"/>
      <c r="FE47" s="315"/>
      <c r="FF47" s="315"/>
      <c r="FG47" s="315"/>
      <c r="FH47" s="315"/>
      <c r="FI47" s="315"/>
      <c r="FJ47" s="315"/>
      <c r="FK47" s="315"/>
      <c r="FL47" s="315"/>
      <c r="FM47" s="315"/>
      <c r="FN47" s="315"/>
      <c r="FO47" s="315"/>
      <c r="FP47" s="315"/>
      <c r="FQ47" s="315"/>
      <c r="FR47" s="315"/>
      <c r="FS47" s="315"/>
      <c r="FT47" s="315"/>
      <c r="FU47" s="315"/>
      <c r="FV47" s="315"/>
      <c r="FW47" s="315"/>
      <c r="FX47" s="315"/>
      <c r="FY47" s="315"/>
      <c r="FZ47" s="315"/>
      <c r="GA47" s="315"/>
      <c r="GB47" s="315"/>
      <c r="GC47" s="315"/>
      <c r="GD47" s="315"/>
      <c r="GE47" s="315"/>
      <c r="GF47" s="315"/>
      <c r="GG47" s="315"/>
      <c r="GH47" s="315"/>
      <c r="GI47" s="315"/>
      <c r="GJ47" s="315"/>
      <c r="GK47" s="315"/>
      <c r="GL47" s="315"/>
      <c r="GM47" s="315"/>
      <c r="GN47" s="315"/>
      <c r="GO47" s="315"/>
      <c r="GP47" s="315"/>
      <c r="GQ47" s="315"/>
      <c r="GR47" s="315"/>
      <c r="GS47" s="315"/>
      <c r="GT47" s="315"/>
      <c r="GU47" s="315"/>
      <c r="GV47" s="315"/>
      <c r="GW47" s="315"/>
      <c r="GX47" s="315"/>
      <c r="GY47" s="315"/>
      <c r="GZ47" s="315"/>
      <c r="HA47" s="315"/>
      <c r="HB47" s="315"/>
      <c r="HC47" s="315"/>
      <c r="HD47" s="315"/>
      <c r="HE47" s="315"/>
      <c r="HF47" s="315"/>
      <c r="HG47" s="315"/>
      <c r="HH47" s="315"/>
      <c r="HI47" s="315"/>
      <c r="HJ47" s="315"/>
      <c r="HK47" s="315"/>
      <c r="HL47" s="315"/>
      <c r="HM47" s="315"/>
      <c r="HN47" s="315"/>
      <c r="HO47" s="315"/>
      <c r="HP47" s="315"/>
      <c r="HQ47" s="315"/>
      <c r="HR47" s="315"/>
      <c r="HS47" s="315"/>
      <c r="HT47" s="315"/>
      <c r="HU47" s="315"/>
      <c r="HV47" s="315"/>
      <c r="HW47" s="315"/>
      <c r="HX47" s="315"/>
      <c r="HY47" s="315"/>
      <c r="HZ47" s="315"/>
      <c r="IA47" s="315"/>
      <c r="IB47" s="315"/>
      <c r="IC47" s="315"/>
      <c r="ID47" s="315"/>
      <c r="IE47" s="315"/>
      <c r="IF47" s="315"/>
      <c r="IG47" s="315"/>
      <c r="IH47" s="315"/>
      <c r="II47" s="315"/>
      <c r="IJ47" s="315"/>
      <c r="IK47" s="315"/>
      <c r="IL47" s="315"/>
      <c r="IM47" s="315"/>
      <c r="IN47" s="315"/>
      <c r="IO47" s="315"/>
      <c r="IP47" s="315"/>
      <c r="IQ47" s="315"/>
      <c r="IR47" s="315"/>
    </row>
    <row r="48" spans="1:252" ht="15">
      <c r="A48" s="292"/>
      <c r="B48" s="316" t="str">
        <f>'Cashflow Ann'!E9</f>
        <v xml:space="preserve">Cash out on Operating Expense </v>
      </c>
      <c r="C48" s="292"/>
      <c r="D48" s="321">
        <f ca="1">'Cashflow Ann'!J9</f>
        <v>-2097831.8422233067</v>
      </c>
      <c r="E48" s="321">
        <f ca="1">'Cashflow Ann'!K9</f>
        <v>-4492243.3138175504</v>
      </c>
      <c r="F48" s="321">
        <f ca="1">'Cashflow Ann'!L9</f>
        <v>-10225694.114231935</v>
      </c>
      <c r="G48" s="321">
        <f ca="1">'Cashflow Ann'!M9</f>
        <v>-20622770.947278712</v>
      </c>
      <c r="H48" s="321">
        <f ca="1">'Cashflow Ann'!N9</f>
        <v>-40835528.880161472</v>
      </c>
      <c r="I48" s="292"/>
      <c r="J48" s="292"/>
      <c r="K48" s="315"/>
      <c r="L48" s="315"/>
      <c r="M48" s="315"/>
      <c r="N48" s="315"/>
      <c r="O48" s="315"/>
      <c r="P48" s="315"/>
      <c r="Q48" s="315"/>
      <c r="R48" s="315"/>
      <c r="S48" s="315"/>
      <c r="T48" s="315"/>
      <c r="U48" s="315"/>
      <c r="V48" s="315"/>
      <c r="W48" s="315"/>
      <c r="X48" s="315"/>
      <c r="Y48" s="315"/>
      <c r="Z48" s="315"/>
      <c r="AA48" s="315"/>
      <c r="AB48" s="315"/>
      <c r="AC48" s="315"/>
      <c r="AD48" s="315"/>
      <c r="AE48" s="315"/>
      <c r="AF48" s="315"/>
      <c r="AG48" s="315"/>
      <c r="AH48" s="315"/>
      <c r="AI48" s="315"/>
      <c r="AJ48" s="315"/>
      <c r="AK48" s="315"/>
      <c r="AL48" s="315"/>
      <c r="AM48" s="315"/>
      <c r="AN48" s="315"/>
      <c r="AO48" s="315"/>
      <c r="AP48" s="315"/>
      <c r="AQ48" s="315"/>
      <c r="AR48" s="315"/>
      <c r="AS48" s="315"/>
      <c r="AT48" s="315"/>
      <c r="AU48" s="315"/>
      <c r="AV48" s="315"/>
      <c r="AW48" s="315"/>
      <c r="AX48" s="315"/>
      <c r="AY48" s="315"/>
      <c r="AZ48" s="315"/>
      <c r="BA48" s="315"/>
      <c r="BB48" s="315"/>
      <c r="BC48" s="315"/>
      <c r="BD48" s="315"/>
      <c r="BE48" s="315"/>
      <c r="BF48" s="315"/>
      <c r="BG48" s="315"/>
      <c r="BH48" s="315"/>
      <c r="BI48" s="315"/>
      <c r="BJ48" s="315"/>
      <c r="BK48" s="315"/>
      <c r="BL48" s="315"/>
      <c r="BM48" s="315"/>
      <c r="BN48" s="315"/>
      <c r="BO48" s="315"/>
      <c r="BP48" s="315"/>
      <c r="BQ48" s="315"/>
      <c r="BR48" s="315"/>
      <c r="BS48" s="315"/>
      <c r="BT48" s="315"/>
      <c r="BU48" s="315"/>
      <c r="BV48" s="315"/>
      <c r="BW48" s="315"/>
      <c r="BX48" s="315"/>
      <c r="BY48" s="315"/>
      <c r="BZ48" s="315"/>
      <c r="CA48" s="315"/>
      <c r="CB48" s="315"/>
      <c r="CC48" s="315"/>
      <c r="CD48" s="315"/>
      <c r="CE48" s="315"/>
      <c r="CF48" s="315"/>
      <c r="CG48" s="315"/>
      <c r="CH48" s="315"/>
      <c r="CI48" s="315"/>
      <c r="CJ48" s="315"/>
      <c r="CK48" s="315"/>
      <c r="CL48" s="315"/>
      <c r="CM48" s="315"/>
      <c r="CN48" s="315"/>
      <c r="CO48" s="315"/>
      <c r="CP48" s="315"/>
      <c r="CQ48" s="315"/>
      <c r="CR48" s="315"/>
      <c r="CS48" s="315"/>
      <c r="CT48" s="315"/>
      <c r="CU48" s="315"/>
      <c r="CV48" s="315"/>
      <c r="CW48" s="315"/>
      <c r="CX48" s="315"/>
      <c r="CY48" s="315"/>
      <c r="CZ48" s="315"/>
      <c r="DA48" s="315"/>
      <c r="DB48" s="315"/>
      <c r="DC48" s="315"/>
      <c r="DD48" s="315"/>
      <c r="DE48" s="315"/>
      <c r="DF48" s="315"/>
      <c r="DG48" s="315"/>
      <c r="DH48" s="315"/>
      <c r="DI48" s="315"/>
      <c r="DJ48" s="315"/>
      <c r="DK48" s="315"/>
      <c r="DL48" s="315"/>
      <c r="DM48" s="315"/>
      <c r="DN48" s="315"/>
      <c r="DO48" s="315"/>
      <c r="DP48" s="315"/>
      <c r="DQ48" s="315"/>
      <c r="DR48" s="315"/>
      <c r="DS48" s="315"/>
      <c r="DT48" s="315"/>
      <c r="DU48" s="315"/>
      <c r="DV48" s="315"/>
      <c r="DW48" s="315"/>
      <c r="DX48" s="315"/>
      <c r="DY48" s="315"/>
      <c r="DZ48" s="315"/>
      <c r="EA48" s="315"/>
      <c r="EB48" s="315"/>
      <c r="EC48" s="315"/>
      <c r="ED48" s="315"/>
      <c r="EE48" s="315"/>
      <c r="EF48" s="315"/>
      <c r="EG48" s="315"/>
      <c r="EH48" s="315"/>
      <c r="EI48" s="315"/>
      <c r="EJ48" s="315"/>
      <c r="EK48" s="315"/>
      <c r="EL48" s="315"/>
      <c r="EM48" s="315"/>
      <c r="EN48" s="315"/>
      <c r="EO48" s="315"/>
      <c r="EP48" s="315"/>
      <c r="EQ48" s="315"/>
      <c r="ER48" s="315"/>
      <c r="ES48" s="315"/>
      <c r="ET48" s="315"/>
      <c r="EU48" s="315"/>
      <c r="EV48" s="315"/>
      <c r="EW48" s="315"/>
      <c r="EX48" s="315"/>
      <c r="EY48" s="315"/>
      <c r="EZ48" s="315"/>
      <c r="FA48" s="315"/>
      <c r="FB48" s="315"/>
      <c r="FC48" s="315"/>
      <c r="FD48" s="315"/>
      <c r="FE48" s="315"/>
      <c r="FF48" s="315"/>
      <c r="FG48" s="315"/>
      <c r="FH48" s="315"/>
      <c r="FI48" s="315"/>
      <c r="FJ48" s="315"/>
      <c r="FK48" s="315"/>
      <c r="FL48" s="315"/>
      <c r="FM48" s="315"/>
      <c r="FN48" s="315"/>
      <c r="FO48" s="315"/>
      <c r="FP48" s="315"/>
      <c r="FQ48" s="315"/>
      <c r="FR48" s="315"/>
      <c r="FS48" s="315"/>
      <c r="FT48" s="315"/>
      <c r="FU48" s="315"/>
      <c r="FV48" s="315"/>
      <c r="FW48" s="315"/>
      <c r="FX48" s="315"/>
      <c r="FY48" s="315"/>
      <c r="FZ48" s="315"/>
      <c r="GA48" s="315"/>
      <c r="GB48" s="315"/>
      <c r="GC48" s="315"/>
      <c r="GD48" s="315"/>
      <c r="GE48" s="315"/>
      <c r="GF48" s="315"/>
      <c r="GG48" s="315"/>
      <c r="GH48" s="315"/>
      <c r="GI48" s="315"/>
      <c r="GJ48" s="315"/>
      <c r="GK48" s="315"/>
      <c r="GL48" s="315"/>
      <c r="GM48" s="315"/>
      <c r="GN48" s="315"/>
      <c r="GO48" s="315"/>
      <c r="GP48" s="315"/>
      <c r="GQ48" s="315"/>
      <c r="GR48" s="315"/>
      <c r="GS48" s="315"/>
      <c r="GT48" s="315"/>
      <c r="GU48" s="315"/>
      <c r="GV48" s="315"/>
      <c r="GW48" s="315"/>
      <c r="GX48" s="315"/>
      <c r="GY48" s="315"/>
      <c r="GZ48" s="315"/>
      <c r="HA48" s="315"/>
      <c r="HB48" s="315"/>
      <c r="HC48" s="315"/>
      <c r="HD48" s="315"/>
      <c r="HE48" s="315"/>
      <c r="HF48" s="315"/>
      <c r="HG48" s="315"/>
      <c r="HH48" s="315"/>
      <c r="HI48" s="315"/>
      <c r="HJ48" s="315"/>
      <c r="HK48" s="315"/>
      <c r="HL48" s="315"/>
      <c r="HM48" s="315"/>
      <c r="HN48" s="315"/>
      <c r="HO48" s="315"/>
      <c r="HP48" s="315"/>
      <c r="HQ48" s="315"/>
      <c r="HR48" s="315"/>
      <c r="HS48" s="315"/>
      <c r="HT48" s="315"/>
      <c r="HU48" s="315"/>
      <c r="HV48" s="315"/>
      <c r="HW48" s="315"/>
      <c r="HX48" s="315"/>
      <c r="HY48" s="315"/>
      <c r="HZ48" s="315"/>
      <c r="IA48" s="315"/>
      <c r="IB48" s="315"/>
      <c r="IC48" s="315"/>
      <c r="ID48" s="315"/>
      <c r="IE48" s="315"/>
      <c r="IF48" s="315"/>
      <c r="IG48" s="315"/>
      <c r="IH48" s="315"/>
      <c r="II48" s="315"/>
      <c r="IJ48" s="315"/>
      <c r="IK48" s="315"/>
      <c r="IL48" s="315"/>
      <c r="IM48" s="315"/>
      <c r="IN48" s="315"/>
      <c r="IO48" s="315"/>
      <c r="IP48" s="315"/>
      <c r="IQ48" s="315"/>
      <c r="IR48" s="315"/>
    </row>
    <row r="49" spans="1:252" s="326" customFormat="1" ht="14.5">
      <c r="A49" s="316"/>
      <c r="B49" s="316" t="str">
        <f>'Cashflow Ann'!E10</f>
        <v xml:space="preserve">VAT paid </v>
      </c>
      <c r="C49" s="292"/>
      <c r="D49" s="321">
        <f ca="1">'Cashflow Ann'!J10</f>
        <v>-1582974.8412136801</v>
      </c>
      <c r="E49" s="321">
        <f ca="1">'Cashflow Ann'!K10</f>
        <v>-4617883.2465890776</v>
      </c>
      <c r="F49" s="321">
        <f ca="1">'Cashflow Ann'!L10</f>
        <v>-10751586.939224947</v>
      </c>
      <c r="G49" s="321">
        <f ca="1">'Cashflow Ann'!M10</f>
        <v>-28118427.71558024</v>
      </c>
      <c r="H49" s="321">
        <f ca="1">'Cashflow Ann'!N10</f>
        <v>-60018835.976465762</v>
      </c>
      <c r="I49" s="316"/>
      <c r="J49" s="316"/>
      <c r="K49" s="325"/>
      <c r="L49" s="325"/>
      <c r="M49" s="325"/>
      <c r="N49" s="325"/>
      <c r="O49" s="325"/>
      <c r="P49" s="325"/>
      <c r="Q49" s="325"/>
      <c r="R49" s="325"/>
      <c r="S49" s="325"/>
      <c r="T49" s="325"/>
      <c r="U49" s="325"/>
      <c r="V49" s="325"/>
      <c r="W49" s="325"/>
      <c r="X49" s="325"/>
      <c r="Y49" s="325"/>
      <c r="Z49" s="325"/>
      <c r="AA49" s="325"/>
      <c r="AB49" s="325"/>
      <c r="AC49" s="325"/>
      <c r="AD49" s="325"/>
      <c r="AE49" s="325"/>
      <c r="AF49" s="325"/>
      <c r="AG49" s="325"/>
      <c r="AH49" s="325"/>
      <c r="AI49" s="325"/>
      <c r="AJ49" s="325"/>
      <c r="AK49" s="325"/>
      <c r="AL49" s="325"/>
      <c r="AM49" s="325"/>
      <c r="AN49" s="325"/>
      <c r="AO49" s="325"/>
      <c r="AP49" s="325"/>
      <c r="AQ49" s="325"/>
      <c r="AR49" s="325"/>
      <c r="AS49" s="325"/>
      <c r="AT49" s="325"/>
      <c r="AU49" s="325"/>
      <c r="AV49" s="325"/>
      <c r="AW49" s="325"/>
      <c r="AX49" s="325"/>
      <c r="AY49" s="325"/>
      <c r="AZ49" s="325"/>
      <c r="BA49" s="325"/>
      <c r="BB49" s="325"/>
      <c r="BC49" s="325"/>
      <c r="BD49" s="325"/>
      <c r="BE49" s="325"/>
      <c r="BF49" s="325"/>
      <c r="BG49" s="325"/>
      <c r="BH49" s="325"/>
      <c r="BI49" s="325"/>
      <c r="BJ49" s="325"/>
      <c r="BK49" s="325"/>
      <c r="BL49" s="325"/>
      <c r="BM49" s="325"/>
      <c r="BN49" s="325"/>
      <c r="BO49" s="325"/>
      <c r="BP49" s="325"/>
      <c r="BQ49" s="325"/>
      <c r="BR49" s="325"/>
      <c r="BS49" s="325"/>
      <c r="BT49" s="325"/>
      <c r="BU49" s="325"/>
      <c r="BV49" s="325"/>
      <c r="BW49" s="325"/>
      <c r="BX49" s="325"/>
      <c r="BY49" s="325"/>
      <c r="BZ49" s="325"/>
      <c r="CA49" s="325"/>
      <c r="CB49" s="325"/>
      <c r="CC49" s="325"/>
      <c r="CD49" s="325"/>
      <c r="CE49" s="325"/>
      <c r="CF49" s="325"/>
      <c r="CG49" s="325"/>
      <c r="CH49" s="325"/>
      <c r="CI49" s="325"/>
      <c r="CJ49" s="325"/>
      <c r="CK49" s="325"/>
      <c r="CL49" s="325"/>
      <c r="CM49" s="325"/>
      <c r="CN49" s="325"/>
      <c r="CO49" s="325"/>
      <c r="CP49" s="325"/>
      <c r="CQ49" s="325"/>
      <c r="CR49" s="325"/>
      <c r="CS49" s="325"/>
      <c r="CT49" s="325"/>
      <c r="CU49" s="325"/>
      <c r="CV49" s="325"/>
      <c r="CW49" s="325"/>
      <c r="CX49" s="325"/>
      <c r="CY49" s="325"/>
      <c r="CZ49" s="325"/>
      <c r="DA49" s="325"/>
      <c r="DB49" s="325"/>
      <c r="DC49" s="325"/>
      <c r="DD49" s="325"/>
      <c r="DE49" s="325"/>
      <c r="DF49" s="325"/>
      <c r="DG49" s="325"/>
      <c r="DH49" s="325"/>
      <c r="DI49" s="325"/>
      <c r="DJ49" s="325"/>
      <c r="DK49" s="325"/>
      <c r="DL49" s="325"/>
      <c r="DM49" s="325"/>
      <c r="DN49" s="325"/>
      <c r="DO49" s="325"/>
      <c r="DP49" s="325"/>
      <c r="DQ49" s="325"/>
      <c r="DR49" s="325"/>
      <c r="DS49" s="325"/>
      <c r="DT49" s="325"/>
      <c r="DU49" s="325"/>
      <c r="DV49" s="325"/>
      <c r="DW49" s="325"/>
      <c r="DX49" s="325"/>
      <c r="DY49" s="325"/>
      <c r="DZ49" s="325"/>
      <c r="EA49" s="325"/>
      <c r="EB49" s="325"/>
      <c r="EC49" s="325"/>
      <c r="ED49" s="325"/>
      <c r="EE49" s="325"/>
      <c r="EF49" s="325"/>
      <c r="EG49" s="325"/>
      <c r="EH49" s="325"/>
      <c r="EI49" s="325"/>
      <c r="EJ49" s="325"/>
      <c r="EK49" s="325"/>
      <c r="EL49" s="325"/>
      <c r="EM49" s="325"/>
      <c r="EN49" s="325"/>
      <c r="EO49" s="325"/>
      <c r="EP49" s="325"/>
      <c r="EQ49" s="325"/>
      <c r="ER49" s="325"/>
      <c r="ES49" s="325"/>
      <c r="ET49" s="325"/>
      <c r="EU49" s="325"/>
      <c r="EV49" s="325"/>
      <c r="EW49" s="325"/>
      <c r="EX49" s="325"/>
      <c r="EY49" s="325"/>
      <c r="EZ49" s="325"/>
      <c r="FA49" s="325"/>
      <c r="FB49" s="325"/>
      <c r="FC49" s="325"/>
      <c r="FD49" s="325"/>
      <c r="FE49" s="325"/>
      <c r="FF49" s="325"/>
      <c r="FG49" s="325"/>
      <c r="FH49" s="325"/>
      <c r="FI49" s="325"/>
      <c r="FJ49" s="325"/>
      <c r="FK49" s="325"/>
      <c r="FL49" s="325"/>
      <c r="FM49" s="325"/>
      <c r="FN49" s="325"/>
      <c r="FO49" s="325"/>
      <c r="FP49" s="325"/>
      <c r="FQ49" s="325"/>
      <c r="FR49" s="325"/>
      <c r="FS49" s="325"/>
      <c r="FT49" s="325"/>
      <c r="FU49" s="325"/>
      <c r="FV49" s="325"/>
      <c r="FW49" s="325"/>
      <c r="FX49" s="325"/>
      <c r="FY49" s="325"/>
      <c r="FZ49" s="325"/>
      <c r="GA49" s="325"/>
      <c r="GB49" s="325"/>
      <c r="GC49" s="325"/>
      <c r="GD49" s="325"/>
      <c r="GE49" s="325"/>
      <c r="GF49" s="325"/>
      <c r="GG49" s="325"/>
      <c r="GH49" s="325"/>
      <c r="GI49" s="325"/>
      <c r="GJ49" s="325"/>
      <c r="GK49" s="325"/>
      <c r="GL49" s="325"/>
      <c r="GM49" s="325"/>
      <c r="GN49" s="325"/>
      <c r="GO49" s="325"/>
      <c r="GP49" s="325"/>
      <c r="GQ49" s="325"/>
      <c r="GR49" s="325"/>
      <c r="GS49" s="325"/>
      <c r="GT49" s="325"/>
      <c r="GU49" s="325"/>
      <c r="GV49" s="325"/>
      <c r="GW49" s="325"/>
      <c r="GX49" s="325"/>
      <c r="GY49" s="325"/>
      <c r="GZ49" s="325"/>
      <c r="HA49" s="325"/>
      <c r="HB49" s="325"/>
      <c r="HC49" s="325"/>
      <c r="HD49" s="325"/>
      <c r="HE49" s="325"/>
      <c r="HF49" s="325"/>
      <c r="HG49" s="325"/>
      <c r="HH49" s="325"/>
      <c r="HI49" s="325"/>
      <c r="HJ49" s="325"/>
      <c r="HK49" s="325"/>
      <c r="HL49" s="325"/>
      <c r="HM49" s="325"/>
      <c r="HN49" s="325"/>
      <c r="HO49" s="325"/>
      <c r="HP49" s="325"/>
      <c r="HQ49" s="325"/>
      <c r="HR49" s="325"/>
      <c r="HS49" s="325"/>
      <c r="HT49" s="325"/>
      <c r="HU49" s="325"/>
      <c r="HV49" s="325"/>
      <c r="HW49" s="325"/>
      <c r="HX49" s="325"/>
      <c r="HY49" s="325"/>
      <c r="HZ49" s="325"/>
      <c r="IA49" s="325"/>
      <c r="IB49" s="325"/>
      <c r="IC49" s="325"/>
      <c r="ID49" s="325"/>
      <c r="IE49" s="325"/>
      <c r="IF49" s="325"/>
      <c r="IG49" s="325"/>
      <c r="IH49" s="325"/>
      <c r="II49" s="325"/>
      <c r="IJ49" s="325"/>
      <c r="IK49" s="325"/>
      <c r="IL49" s="325"/>
      <c r="IM49" s="325"/>
      <c r="IN49" s="325"/>
      <c r="IO49" s="325"/>
      <c r="IP49" s="325"/>
      <c r="IQ49" s="325"/>
      <c r="IR49" s="325"/>
    </row>
    <row r="50" spans="1:252" ht="15">
      <c r="A50" s="292"/>
      <c r="B50" s="316" t="str">
        <f>'Cashflow Ann'!E11</f>
        <v xml:space="preserve">Corporation tax paid </v>
      </c>
      <c r="C50" s="292"/>
      <c r="D50" s="321">
        <f ca="1">'Cashflow Ann'!J11</f>
        <v>0</v>
      </c>
      <c r="E50" s="321">
        <f ca="1">'Cashflow Ann'!K11</f>
        <v>-1155969.6821670486</v>
      </c>
      <c r="F50" s="321">
        <f ca="1">'Cashflow Ann'!L11</f>
        <v>-4469298.9841670301</v>
      </c>
      <c r="G50" s="321">
        <f ca="1">'Cashflow Ann'!M11</f>
        <v>-9433606.0379642248</v>
      </c>
      <c r="H50" s="321">
        <f ca="1">'Cashflow Ann'!N11</f>
        <v>-21980011.267040946</v>
      </c>
      <c r="I50" s="292"/>
      <c r="J50" s="292"/>
      <c r="K50" s="315"/>
      <c r="L50" s="315"/>
      <c r="M50" s="315"/>
      <c r="N50" s="315"/>
      <c r="O50" s="315"/>
      <c r="P50" s="315"/>
      <c r="Q50" s="315"/>
      <c r="R50" s="315"/>
      <c r="S50" s="315"/>
      <c r="T50" s="315"/>
      <c r="U50" s="315"/>
      <c r="V50" s="315"/>
      <c r="W50" s="315"/>
      <c r="X50" s="315"/>
      <c r="Y50" s="315"/>
      <c r="Z50" s="315"/>
      <c r="AA50" s="315"/>
      <c r="AB50" s="315"/>
      <c r="AC50" s="315"/>
      <c r="AD50" s="315"/>
      <c r="AE50" s="315"/>
      <c r="AF50" s="315"/>
      <c r="AG50" s="315"/>
      <c r="AH50" s="315"/>
      <c r="AI50" s="315"/>
      <c r="AJ50" s="315"/>
      <c r="AK50" s="315"/>
      <c r="AL50" s="315"/>
      <c r="AM50" s="315"/>
      <c r="AN50" s="315"/>
      <c r="AO50" s="315"/>
      <c r="AP50" s="315"/>
      <c r="AQ50" s="315"/>
      <c r="AR50" s="315"/>
      <c r="AS50" s="315"/>
      <c r="AT50" s="315"/>
      <c r="AU50" s="315"/>
      <c r="AV50" s="315"/>
      <c r="AW50" s="315"/>
      <c r="AX50" s="315"/>
      <c r="AY50" s="315"/>
      <c r="AZ50" s="315"/>
      <c r="BA50" s="315"/>
      <c r="BB50" s="315"/>
      <c r="BC50" s="315"/>
      <c r="BD50" s="315"/>
      <c r="BE50" s="315"/>
      <c r="BF50" s="315"/>
      <c r="BG50" s="315"/>
      <c r="BH50" s="315"/>
      <c r="BI50" s="315"/>
      <c r="BJ50" s="315"/>
      <c r="BK50" s="315"/>
      <c r="BL50" s="315"/>
      <c r="BM50" s="315"/>
      <c r="BN50" s="315"/>
      <c r="BO50" s="315"/>
      <c r="BP50" s="315"/>
      <c r="BQ50" s="315"/>
      <c r="BR50" s="315"/>
      <c r="BS50" s="315"/>
      <c r="BT50" s="315"/>
      <c r="BU50" s="315"/>
      <c r="BV50" s="315"/>
      <c r="BW50" s="315"/>
      <c r="BX50" s="315"/>
      <c r="BY50" s="315"/>
      <c r="BZ50" s="315"/>
      <c r="CA50" s="315"/>
      <c r="CB50" s="315"/>
      <c r="CC50" s="315"/>
      <c r="CD50" s="315"/>
      <c r="CE50" s="315"/>
      <c r="CF50" s="315"/>
      <c r="CG50" s="315"/>
      <c r="CH50" s="315"/>
      <c r="CI50" s="315"/>
      <c r="CJ50" s="315"/>
      <c r="CK50" s="315"/>
      <c r="CL50" s="315"/>
      <c r="CM50" s="315"/>
      <c r="CN50" s="315"/>
      <c r="CO50" s="315"/>
      <c r="CP50" s="315"/>
      <c r="CQ50" s="315"/>
      <c r="CR50" s="315"/>
      <c r="CS50" s="315"/>
      <c r="CT50" s="315"/>
      <c r="CU50" s="315"/>
      <c r="CV50" s="315"/>
      <c r="CW50" s="315"/>
      <c r="CX50" s="315"/>
      <c r="CY50" s="315"/>
      <c r="CZ50" s="315"/>
      <c r="DA50" s="315"/>
      <c r="DB50" s="315"/>
      <c r="DC50" s="315"/>
      <c r="DD50" s="315"/>
      <c r="DE50" s="315"/>
      <c r="DF50" s="315"/>
      <c r="DG50" s="315"/>
      <c r="DH50" s="315"/>
      <c r="DI50" s="315"/>
      <c r="DJ50" s="315"/>
      <c r="DK50" s="315"/>
      <c r="DL50" s="315"/>
      <c r="DM50" s="315"/>
      <c r="DN50" s="315"/>
      <c r="DO50" s="315"/>
      <c r="DP50" s="315"/>
      <c r="DQ50" s="315"/>
      <c r="DR50" s="315"/>
      <c r="DS50" s="315"/>
      <c r="DT50" s="315"/>
      <c r="DU50" s="315"/>
      <c r="DV50" s="315"/>
      <c r="DW50" s="315"/>
      <c r="DX50" s="315"/>
      <c r="DY50" s="315"/>
      <c r="DZ50" s="315"/>
      <c r="EA50" s="315"/>
      <c r="EB50" s="315"/>
      <c r="EC50" s="315"/>
      <c r="ED50" s="315"/>
      <c r="EE50" s="315"/>
      <c r="EF50" s="315"/>
      <c r="EG50" s="315"/>
      <c r="EH50" s="315"/>
      <c r="EI50" s="315"/>
      <c r="EJ50" s="315"/>
      <c r="EK50" s="315"/>
      <c r="EL50" s="315"/>
      <c r="EM50" s="315"/>
      <c r="EN50" s="315"/>
      <c r="EO50" s="315"/>
      <c r="EP50" s="315"/>
      <c r="EQ50" s="315"/>
      <c r="ER50" s="315"/>
      <c r="ES50" s="315"/>
      <c r="ET50" s="315"/>
      <c r="EU50" s="315"/>
      <c r="EV50" s="315"/>
      <c r="EW50" s="315"/>
      <c r="EX50" s="315"/>
      <c r="EY50" s="315"/>
      <c r="EZ50" s="315"/>
      <c r="FA50" s="315"/>
      <c r="FB50" s="315"/>
      <c r="FC50" s="315"/>
      <c r="FD50" s="315"/>
      <c r="FE50" s="315"/>
      <c r="FF50" s="315"/>
      <c r="FG50" s="315"/>
      <c r="FH50" s="315"/>
      <c r="FI50" s="315"/>
      <c r="FJ50" s="315"/>
      <c r="FK50" s="315"/>
      <c r="FL50" s="315"/>
      <c r="FM50" s="315"/>
      <c r="FN50" s="315"/>
      <c r="FO50" s="315"/>
      <c r="FP50" s="315"/>
      <c r="FQ50" s="315"/>
      <c r="FR50" s="315"/>
      <c r="FS50" s="315"/>
      <c r="FT50" s="315"/>
      <c r="FU50" s="315"/>
      <c r="FV50" s="315"/>
      <c r="FW50" s="315"/>
      <c r="FX50" s="315"/>
      <c r="FY50" s="315"/>
      <c r="FZ50" s="315"/>
      <c r="GA50" s="315"/>
      <c r="GB50" s="315"/>
      <c r="GC50" s="315"/>
      <c r="GD50" s="315"/>
      <c r="GE50" s="315"/>
      <c r="GF50" s="315"/>
      <c r="GG50" s="315"/>
      <c r="GH50" s="315"/>
      <c r="GI50" s="315"/>
      <c r="GJ50" s="315"/>
      <c r="GK50" s="315"/>
      <c r="GL50" s="315"/>
      <c r="GM50" s="315"/>
      <c r="GN50" s="315"/>
      <c r="GO50" s="315"/>
      <c r="GP50" s="315"/>
      <c r="GQ50" s="315"/>
      <c r="GR50" s="315"/>
      <c r="GS50" s="315"/>
      <c r="GT50" s="315"/>
      <c r="GU50" s="315"/>
      <c r="GV50" s="315"/>
      <c r="GW50" s="315"/>
      <c r="GX50" s="315"/>
      <c r="GY50" s="315"/>
      <c r="GZ50" s="315"/>
      <c r="HA50" s="315"/>
      <c r="HB50" s="315"/>
      <c r="HC50" s="315"/>
      <c r="HD50" s="315"/>
      <c r="HE50" s="315"/>
      <c r="HF50" s="315"/>
      <c r="HG50" s="315"/>
      <c r="HH50" s="315"/>
      <c r="HI50" s="315"/>
      <c r="HJ50" s="315"/>
      <c r="HK50" s="315"/>
      <c r="HL50" s="315"/>
      <c r="HM50" s="315"/>
      <c r="HN50" s="315"/>
      <c r="HO50" s="315"/>
      <c r="HP50" s="315"/>
      <c r="HQ50" s="315"/>
      <c r="HR50" s="315"/>
      <c r="HS50" s="315"/>
      <c r="HT50" s="315"/>
      <c r="HU50" s="315"/>
      <c r="HV50" s="315"/>
      <c r="HW50" s="315"/>
      <c r="HX50" s="315"/>
      <c r="HY50" s="315"/>
      <c r="HZ50" s="315"/>
      <c r="IA50" s="315"/>
      <c r="IB50" s="315"/>
      <c r="IC50" s="315"/>
      <c r="ID50" s="315"/>
      <c r="IE50" s="315"/>
      <c r="IF50" s="315"/>
      <c r="IG50" s="315"/>
      <c r="IH50" s="315"/>
      <c r="II50" s="315"/>
      <c r="IJ50" s="315"/>
      <c r="IK50" s="315"/>
      <c r="IL50" s="315"/>
      <c r="IM50" s="315"/>
      <c r="IN50" s="315"/>
      <c r="IO50" s="315"/>
      <c r="IP50" s="315"/>
      <c r="IQ50" s="315"/>
      <c r="IR50" s="315"/>
    </row>
    <row r="51" spans="1:252" ht="15">
      <c r="A51" s="292"/>
      <c r="B51" s="327" t="str">
        <f>'Cashflow Ann'!E12</f>
        <v>Operating Cashflow</v>
      </c>
      <c r="C51" s="323"/>
      <c r="D51" s="324">
        <f ca="1">'Cashflow Ann'!J12</f>
        <v>3879193.3165630135</v>
      </c>
      <c r="E51" s="324">
        <f ca="1">'Cashflow Ann'!K12</f>
        <v>19973903.757426322</v>
      </c>
      <c r="F51" s="324">
        <f ca="1">'Cashflow Ann'!L12</f>
        <v>50153419.96237608</v>
      </c>
      <c r="G51" s="324">
        <f ca="1">'Cashflow Ann'!M12</f>
        <v>125785195.29917681</v>
      </c>
      <c r="H51" s="324">
        <f ca="1">'Cashflow Ann'!N12</f>
        <v>270285623.87633181</v>
      </c>
      <c r="I51" s="292"/>
      <c r="J51" s="292"/>
      <c r="K51" s="315"/>
      <c r="L51" s="315"/>
      <c r="M51" s="315"/>
      <c r="N51" s="315"/>
      <c r="O51" s="315"/>
      <c r="P51" s="315"/>
      <c r="Q51" s="315"/>
      <c r="R51" s="315"/>
      <c r="S51" s="315"/>
      <c r="T51" s="315"/>
      <c r="U51" s="315"/>
      <c r="V51" s="315"/>
      <c r="W51" s="315"/>
      <c r="X51" s="315"/>
      <c r="Y51" s="315"/>
      <c r="Z51" s="315"/>
      <c r="AA51" s="315"/>
      <c r="AB51" s="315"/>
      <c r="AC51" s="315"/>
      <c r="AD51" s="315"/>
      <c r="AE51" s="315"/>
      <c r="AF51" s="315"/>
      <c r="AG51" s="315"/>
      <c r="AH51" s="315"/>
      <c r="AI51" s="315"/>
      <c r="AJ51" s="315"/>
      <c r="AK51" s="315"/>
      <c r="AL51" s="315"/>
      <c r="AM51" s="315"/>
      <c r="AN51" s="315"/>
      <c r="AO51" s="315"/>
      <c r="AP51" s="315"/>
      <c r="AQ51" s="315"/>
      <c r="AR51" s="315"/>
      <c r="AS51" s="315"/>
      <c r="AT51" s="315"/>
      <c r="AU51" s="315"/>
      <c r="AV51" s="315"/>
      <c r="AW51" s="315"/>
      <c r="AX51" s="315"/>
      <c r="AY51" s="315"/>
      <c r="AZ51" s="315"/>
      <c r="BA51" s="315"/>
      <c r="BB51" s="315"/>
      <c r="BC51" s="315"/>
      <c r="BD51" s="315"/>
      <c r="BE51" s="315"/>
      <c r="BF51" s="315"/>
      <c r="BG51" s="315"/>
      <c r="BH51" s="315"/>
      <c r="BI51" s="315"/>
      <c r="BJ51" s="315"/>
      <c r="BK51" s="315"/>
      <c r="BL51" s="315"/>
      <c r="BM51" s="315"/>
      <c r="BN51" s="315"/>
      <c r="BO51" s="315"/>
      <c r="BP51" s="315"/>
      <c r="BQ51" s="315"/>
      <c r="BR51" s="315"/>
      <c r="BS51" s="315"/>
      <c r="BT51" s="315"/>
      <c r="BU51" s="315"/>
      <c r="BV51" s="315"/>
      <c r="BW51" s="315"/>
      <c r="BX51" s="315"/>
      <c r="BY51" s="315"/>
      <c r="BZ51" s="315"/>
      <c r="CA51" s="315"/>
      <c r="CB51" s="315"/>
      <c r="CC51" s="315"/>
      <c r="CD51" s="315"/>
      <c r="CE51" s="315"/>
      <c r="CF51" s="315"/>
      <c r="CG51" s="315"/>
      <c r="CH51" s="315"/>
      <c r="CI51" s="315"/>
      <c r="CJ51" s="315"/>
      <c r="CK51" s="315"/>
      <c r="CL51" s="315"/>
      <c r="CM51" s="315"/>
      <c r="CN51" s="315"/>
      <c r="CO51" s="315"/>
      <c r="CP51" s="315"/>
      <c r="CQ51" s="315"/>
      <c r="CR51" s="315"/>
      <c r="CS51" s="315"/>
      <c r="CT51" s="315"/>
      <c r="CU51" s="315"/>
      <c r="CV51" s="315"/>
      <c r="CW51" s="315"/>
      <c r="CX51" s="315"/>
      <c r="CY51" s="315"/>
      <c r="CZ51" s="315"/>
      <c r="DA51" s="315"/>
      <c r="DB51" s="315"/>
      <c r="DC51" s="315"/>
      <c r="DD51" s="315"/>
      <c r="DE51" s="315"/>
      <c r="DF51" s="315"/>
      <c r="DG51" s="315"/>
      <c r="DH51" s="315"/>
      <c r="DI51" s="315"/>
      <c r="DJ51" s="315"/>
      <c r="DK51" s="315"/>
      <c r="DL51" s="315"/>
      <c r="DM51" s="315"/>
      <c r="DN51" s="315"/>
      <c r="DO51" s="315"/>
      <c r="DP51" s="315"/>
      <c r="DQ51" s="315"/>
      <c r="DR51" s="315"/>
      <c r="DS51" s="315"/>
      <c r="DT51" s="315"/>
      <c r="DU51" s="315"/>
      <c r="DV51" s="315"/>
      <c r="DW51" s="315"/>
      <c r="DX51" s="315"/>
      <c r="DY51" s="315"/>
      <c r="DZ51" s="315"/>
      <c r="EA51" s="315"/>
      <c r="EB51" s="315"/>
      <c r="EC51" s="315"/>
      <c r="ED51" s="315"/>
      <c r="EE51" s="315"/>
      <c r="EF51" s="315"/>
      <c r="EG51" s="315"/>
      <c r="EH51" s="315"/>
      <c r="EI51" s="315"/>
      <c r="EJ51" s="315"/>
      <c r="EK51" s="315"/>
      <c r="EL51" s="315"/>
      <c r="EM51" s="315"/>
      <c r="EN51" s="315"/>
      <c r="EO51" s="315"/>
      <c r="EP51" s="315"/>
      <c r="EQ51" s="315"/>
      <c r="ER51" s="315"/>
      <c r="ES51" s="315"/>
      <c r="ET51" s="315"/>
      <c r="EU51" s="315"/>
      <c r="EV51" s="315"/>
      <c r="EW51" s="315"/>
      <c r="EX51" s="315"/>
      <c r="EY51" s="315"/>
      <c r="EZ51" s="315"/>
      <c r="FA51" s="315"/>
      <c r="FB51" s="315"/>
      <c r="FC51" s="315"/>
      <c r="FD51" s="315"/>
      <c r="FE51" s="315"/>
      <c r="FF51" s="315"/>
      <c r="FG51" s="315"/>
      <c r="FH51" s="315"/>
      <c r="FI51" s="315"/>
      <c r="FJ51" s="315"/>
      <c r="FK51" s="315"/>
      <c r="FL51" s="315"/>
      <c r="FM51" s="315"/>
      <c r="FN51" s="315"/>
      <c r="FO51" s="315"/>
      <c r="FP51" s="315"/>
      <c r="FQ51" s="315"/>
      <c r="FR51" s="315"/>
      <c r="FS51" s="315"/>
      <c r="FT51" s="315"/>
      <c r="FU51" s="315"/>
      <c r="FV51" s="315"/>
      <c r="FW51" s="315"/>
      <c r="FX51" s="315"/>
      <c r="FY51" s="315"/>
      <c r="FZ51" s="315"/>
      <c r="GA51" s="315"/>
      <c r="GB51" s="315"/>
      <c r="GC51" s="315"/>
      <c r="GD51" s="315"/>
      <c r="GE51" s="315"/>
      <c r="GF51" s="315"/>
      <c r="GG51" s="315"/>
      <c r="GH51" s="315"/>
      <c r="GI51" s="315"/>
      <c r="GJ51" s="315"/>
      <c r="GK51" s="315"/>
      <c r="GL51" s="315"/>
      <c r="GM51" s="315"/>
      <c r="GN51" s="315"/>
      <c r="GO51" s="315"/>
      <c r="GP51" s="315"/>
      <c r="GQ51" s="315"/>
      <c r="GR51" s="315"/>
      <c r="GS51" s="315"/>
      <c r="GT51" s="315"/>
      <c r="GU51" s="315"/>
      <c r="GV51" s="315"/>
      <c r="GW51" s="315"/>
      <c r="GX51" s="315"/>
      <c r="GY51" s="315"/>
      <c r="GZ51" s="315"/>
      <c r="HA51" s="315"/>
      <c r="HB51" s="315"/>
      <c r="HC51" s="315"/>
      <c r="HD51" s="315"/>
      <c r="HE51" s="315"/>
      <c r="HF51" s="315"/>
      <c r="HG51" s="315"/>
      <c r="HH51" s="315"/>
      <c r="HI51" s="315"/>
      <c r="HJ51" s="315"/>
      <c r="HK51" s="315"/>
      <c r="HL51" s="315"/>
      <c r="HM51" s="315"/>
      <c r="HN51" s="315"/>
      <c r="HO51" s="315"/>
      <c r="HP51" s="315"/>
      <c r="HQ51" s="315"/>
      <c r="HR51" s="315"/>
      <c r="HS51" s="315"/>
      <c r="HT51" s="315"/>
      <c r="HU51" s="315"/>
      <c r="HV51" s="315"/>
      <c r="HW51" s="315"/>
      <c r="HX51" s="315"/>
      <c r="HY51" s="315"/>
      <c r="HZ51" s="315"/>
      <c r="IA51" s="315"/>
      <c r="IB51" s="315"/>
      <c r="IC51" s="315"/>
      <c r="ID51" s="315"/>
      <c r="IE51" s="315"/>
      <c r="IF51" s="315"/>
      <c r="IG51" s="315"/>
      <c r="IH51" s="315"/>
      <c r="II51" s="315"/>
      <c r="IJ51" s="315"/>
      <c r="IK51" s="315"/>
      <c r="IL51" s="315"/>
      <c r="IM51" s="315"/>
      <c r="IN51" s="315"/>
      <c r="IO51" s="315"/>
      <c r="IP51" s="315"/>
      <c r="IQ51" s="315"/>
      <c r="IR51" s="315"/>
    </row>
    <row r="52" spans="1:252" s="326" customFormat="1" ht="14.5">
      <c r="A52" s="316"/>
      <c r="B52" s="316"/>
      <c r="C52" s="292"/>
      <c r="D52" s="321"/>
      <c r="E52" s="321"/>
      <c r="F52" s="321"/>
      <c r="G52" s="321"/>
      <c r="H52" s="321"/>
      <c r="I52" s="316"/>
      <c r="J52" s="316"/>
      <c r="K52" s="325"/>
      <c r="L52" s="325"/>
      <c r="M52" s="325"/>
      <c r="N52" s="325"/>
      <c r="O52" s="325"/>
      <c r="P52" s="325"/>
      <c r="Q52" s="325"/>
      <c r="R52" s="325"/>
      <c r="S52" s="325"/>
      <c r="T52" s="325"/>
      <c r="U52" s="325"/>
      <c r="V52" s="325"/>
      <c r="W52" s="325"/>
      <c r="X52" s="325"/>
      <c r="Y52" s="325"/>
      <c r="Z52" s="325"/>
      <c r="AA52" s="325"/>
      <c r="AB52" s="325"/>
      <c r="AC52" s="325"/>
      <c r="AD52" s="325"/>
      <c r="AE52" s="325"/>
      <c r="AF52" s="325"/>
      <c r="AG52" s="325"/>
      <c r="AH52" s="325"/>
      <c r="AI52" s="325"/>
      <c r="AJ52" s="325"/>
      <c r="AK52" s="325"/>
      <c r="AL52" s="325"/>
      <c r="AM52" s="325"/>
      <c r="AN52" s="325"/>
      <c r="AO52" s="325"/>
      <c r="AP52" s="325"/>
      <c r="AQ52" s="325"/>
      <c r="AR52" s="325"/>
      <c r="AS52" s="325"/>
      <c r="AT52" s="325"/>
      <c r="AU52" s="325"/>
      <c r="AV52" s="325"/>
      <c r="AW52" s="325"/>
      <c r="AX52" s="325"/>
      <c r="AY52" s="325"/>
      <c r="AZ52" s="325"/>
      <c r="BA52" s="325"/>
      <c r="BB52" s="325"/>
      <c r="BC52" s="325"/>
      <c r="BD52" s="325"/>
      <c r="BE52" s="325"/>
      <c r="BF52" s="325"/>
      <c r="BG52" s="325"/>
      <c r="BH52" s="325"/>
      <c r="BI52" s="325"/>
      <c r="BJ52" s="325"/>
      <c r="BK52" s="325"/>
      <c r="BL52" s="325"/>
      <c r="BM52" s="325"/>
      <c r="BN52" s="325"/>
      <c r="BO52" s="325"/>
      <c r="BP52" s="325"/>
      <c r="BQ52" s="325"/>
      <c r="BR52" s="325"/>
      <c r="BS52" s="325"/>
      <c r="BT52" s="325"/>
      <c r="BU52" s="325"/>
      <c r="BV52" s="325"/>
      <c r="BW52" s="325"/>
      <c r="BX52" s="325"/>
      <c r="BY52" s="325"/>
      <c r="BZ52" s="325"/>
      <c r="CA52" s="325"/>
      <c r="CB52" s="325"/>
      <c r="CC52" s="325"/>
      <c r="CD52" s="325"/>
      <c r="CE52" s="325"/>
      <c r="CF52" s="325"/>
      <c r="CG52" s="325"/>
      <c r="CH52" s="325"/>
      <c r="CI52" s="325"/>
      <c r="CJ52" s="325"/>
      <c r="CK52" s="325"/>
      <c r="CL52" s="325"/>
      <c r="CM52" s="325"/>
      <c r="CN52" s="325"/>
      <c r="CO52" s="325"/>
      <c r="CP52" s="325"/>
      <c r="CQ52" s="325"/>
      <c r="CR52" s="325"/>
      <c r="CS52" s="325"/>
      <c r="CT52" s="325"/>
      <c r="CU52" s="325"/>
      <c r="CV52" s="325"/>
      <c r="CW52" s="325"/>
      <c r="CX52" s="325"/>
      <c r="CY52" s="325"/>
      <c r="CZ52" s="325"/>
      <c r="DA52" s="325"/>
      <c r="DB52" s="325"/>
      <c r="DC52" s="325"/>
      <c r="DD52" s="325"/>
      <c r="DE52" s="325"/>
      <c r="DF52" s="325"/>
      <c r="DG52" s="325"/>
      <c r="DH52" s="325"/>
      <c r="DI52" s="325"/>
      <c r="DJ52" s="325"/>
      <c r="DK52" s="325"/>
      <c r="DL52" s="325"/>
      <c r="DM52" s="325"/>
      <c r="DN52" s="325"/>
      <c r="DO52" s="325"/>
      <c r="DP52" s="325"/>
      <c r="DQ52" s="325"/>
      <c r="DR52" s="325"/>
      <c r="DS52" s="325"/>
      <c r="DT52" s="325"/>
      <c r="DU52" s="325"/>
      <c r="DV52" s="325"/>
      <c r="DW52" s="325"/>
      <c r="DX52" s="325"/>
      <c r="DY52" s="325"/>
      <c r="DZ52" s="325"/>
      <c r="EA52" s="325"/>
      <c r="EB52" s="325"/>
      <c r="EC52" s="325"/>
      <c r="ED52" s="325"/>
      <c r="EE52" s="325"/>
      <c r="EF52" s="325"/>
      <c r="EG52" s="325"/>
      <c r="EH52" s="325"/>
      <c r="EI52" s="325"/>
      <c r="EJ52" s="325"/>
      <c r="EK52" s="325"/>
      <c r="EL52" s="325"/>
      <c r="EM52" s="325"/>
      <c r="EN52" s="325"/>
      <c r="EO52" s="325"/>
      <c r="EP52" s="325"/>
      <c r="EQ52" s="325"/>
      <c r="ER52" s="325"/>
      <c r="ES52" s="325"/>
      <c r="ET52" s="325"/>
      <c r="EU52" s="325"/>
      <c r="EV52" s="325"/>
      <c r="EW52" s="325"/>
      <c r="EX52" s="325"/>
      <c r="EY52" s="325"/>
      <c r="EZ52" s="325"/>
      <c r="FA52" s="325"/>
      <c r="FB52" s="325"/>
      <c r="FC52" s="325"/>
      <c r="FD52" s="325"/>
      <c r="FE52" s="325"/>
      <c r="FF52" s="325"/>
      <c r="FG52" s="325"/>
      <c r="FH52" s="325"/>
      <c r="FI52" s="325"/>
      <c r="FJ52" s="325"/>
      <c r="FK52" s="325"/>
      <c r="FL52" s="325"/>
      <c r="FM52" s="325"/>
      <c r="FN52" s="325"/>
      <c r="FO52" s="325"/>
      <c r="FP52" s="325"/>
      <c r="FQ52" s="325"/>
      <c r="FR52" s="325"/>
      <c r="FS52" s="325"/>
      <c r="FT52" s="325"/>
      <c r="FU52" s="325"/>
      <c r="FV52" s="325"/>
      <c r="FW52" s="325"/>
      <c r="FX52" s="325"/>
      <c r="FY52" s="325"/>
      <c r="FZ52" s="325"/>
      <c r="GA52" s="325"/>
      <c r="GB52" s="325"/>
      <c r="GC52" s="325"/>
      <c r="GD52" s="325"/>
      <c r="GE52" s="325"/>
      <c r="GF52" s="325"/>
      <c r="GG52" s="325"/>
      <c r="GH52" s="325"/>
      <c r="GI52" s="325"/>
      <c r="GJ52" s="325"/>
      <c r="GK52" s="325"/>
      <c r="GL52" s="325"/>
      <c r="GM52" s="325"/>
      <c r="GN52" s="325"/>
      <c r="GO52" s="325"/>
      <c r="GP52" s="325"/>
      <c r="GQ52" s="325"/>
      <c r="GR52" s="325"/>
      <c r="GS52" s="325"/>
      <c r="GT52" s="325"/>
      <c r="GU52" s="325"/>
      <c r="GV52" s="325"/>
      <c r="GW52" s="325"/>
      <c r="GX52" s="325"/>
      <c r="GY52" s="325"/>
      <c r="GZ52" s="325"/>
      <c r="HA52" s="325"/>
      <c r="HB52" s="325"/>
      <c r="HC52" s="325"/>
      <c r="HD52" s="325"/>
      <c r="HE52" s="325"/>
      <c r="HF52" s="325"/>
      <c r="HG52" s="325"/>
      <c r="HH52" s="325"/>
      <c r="HI52" s="325"/>
      <c r="HJ52" s="325"/>
      <c r="HK52" s="325"/>
      <c r="HL52" s="325"/>
      <c r="HM52" s="325"/>
      <c r="HN52" s="325"/>
      <c r="HO52" s="325"/>
      <c r="HP52" s="325"/>
      <c r="HQ52" s="325"/>
      <c r="HR52" s="325"/>
      <c r="HS52" s="325"/>
      <c r="HT52" s="325"/>
      <c r="HU52" s="325"/>
      <c r="HV52" s="325"/>
      <c r="HW52" s="325"/>
      <c r="HX52" s="325"/>
      <c r="HY52" s="325"/>
      <c r="HZ52" s="325"/>
      <c r="IA52" s="325"/>
      <c r="IB52" s="325"/>
      <c r="IC52" s="325"/>
      <c r="ID52" s="325"/>
      <c r="IE52" s="325"/>
      <c r="IF52" s="325"/>
      <c r="IG52" s="325"/>
      <c r="IH52" s="325"/>
      <c r="II52" s="325"/>
      <c r="IJ52" s="325"/>
      <c r="IK52" s="325"/>
      <c r="IL52" s="325"/>
      <c r="IM52" s="325"/>
      <c r="IN52" s="325"/>
      <c r="IO52" s="325"/>
      <c r="IP52" s="325"/>
      <c r="IQ52" s="325"/>
      <c r="IR52" s="325"/>
    </row>
    <row r="53" spans="1:252" ht="15">
      <c r="A53" s="292"/>
      <c r="B53" s="316" t="str">
        <f>'Cashflow Ann'!E14</f>
        <v xml:space="preserve">Cash out on Inventory </v>
      </c>
      <c r="C53" s="292"/>
      <c r="D53" s="321">
        <f ca="1">'Cashflow Ann'!J14</f>
        <v>-1407000</v>
      </c>
      <c r="E53" s="321">
        <f ca="1">'Cashflow Ann'!K14</f>
        <v>-2110499.9999999995</v>
      </c>
      <c r="F53" s="321">
        <f ca="1">'Cashflow Ann'!L14</f>
        <v>-6226500</v>
      </c>
      <c r="G53" s="321">
        <f ca="1">'Cashflow Ann'!M14</f>
        <v>-13681500</v>
      </c>
      <c r="H53" s="321">
        <f ca="1">'Cashflow Ann'!N14</f>
        <v>-27268500</v>
      </c>
      <c r="I53" s="292"/>
      <c r="J53" s="292"/>
      <c r="K53" s="315"/>
      <c r="L53" s="315"/>
      <c r="M53" s="315"/>
      <c r="N53" s="315"/>
      <c r="O53" s="315"/>
      <c r="P53" s="315"/>
      <c r="Q53" s="315"/>
      <c r="R53" s="315"/>
      <c r="S53" s="315"/>
      <c r="T53" s="315"/>
      <c r="U53" s="315"/>
      <c r="V53" s="315"/>
      <c r="W53" s="315"/>
      <c r="X53" s="315"/>
      <c r="Y53" s="315"/>
      <c r="Z53" s="315"/>
      <c r="AA53" s="315"/>
      <c r="AB53" s="315"/>
      <c r="AC53" s="315"/>
      <c r="AD53" s="315"/>
      <c r="AE53" s="315"/>
      <c r="AF53" s="315"/>
      <c r="AG53" s="315"/>
      <c r="AH53" s="315"/>
      <c r="AI53" s="315"/>
      <c r="AJ53" s="315"/>
      <c r="AK53" s="315"/>
      <c r="AL53" s="315"/>
      <c r="AM53" s="315"/>
      <c r="AN53" s="315"/>
      <c r="AO53" s="315"/>
      <c r="AP53" s="315"/>
      <c r="AQ53" s="315"/>
      <c r="AR53" s="315"/>
      <c r="AS53" s="315"/>
      <c r="AT53" s="315"/>
      <c r="AU53" s="315"/>
      <c r="AV53" s="315"/>
      <c r="AW53" s="315"/>
      <c r="AX53" s="315"/>
      <c r="AY53" s="315"/>
      <c r="AZ53" s="315"/>
      <c r="BA53" s="315"/>
      <c r="BB53" s="315"/>
      <c r="BC53" s="315"/>
      <c r="BD53" s="315"/>
      <c r="BE53" s="315"/>
      <c r="BF53" s="315"/>
      <c r="BG53" s="315"/>
      <c r="BH53" s="315"/>
      <c r="BI53" s="315"/>
      <c r="BJ53" s="315"/>
      <c r="BK53" s="315"/>
      <c r="BL53" s="315"/>
      <c r="BM53" s="315"/>
      <c r="BN53" s="315"/>
      <c r="BO53" s="315"/>
      <c r="BP53" s="315"/>
      <c r="BQ53" s="315"/>
      <c r="BR53" s="315"/>
      <c r="BS53" s="315"/>
      <c r="BT53" s="315"/>
      <c r="BU53" s="315"/>
      <c r="BV53" s="315"/>
      <c r="BW53" s="315"/>
      <c r="BX53" s="315"/>
      <c r="BY53" s="315"/>
      <c r="BZ53" s="315"/>
      <c r="CA53" s="315"/>
      <c r="CB53" s="315"/>
      <c r="CC53" s="315"/>
      <c r="CD53" s="315"/>
      <c r="CE53" s="315"/>
      <c r="CF53" s="315"/>
      <c r="CG53" s="315"/>
      <c r="CH53" s="315"/>
      <c r="CI53" s="315"/>
      <c r="CJ53" s="315"/>
      <c r="CK53" s="315"/>
      <c r="CL53" s="315"/>
      <c r="CM53" s="315"/>
      <c r="CN53" s="315"/>
      <c r="CO53" s="315"/>
      <c r="CP53" s="315"/>
      <c r="CQ53" s="315"/>
      <c r="CR53" s="315"/>
      <c r="CS53" s="315"/>
      <c r="CT53" s="315"/>
      <c r="CU53" s="315"/>
      <c r="CV53" s="315"/>
      <c r="CW53" s="315"/>
      <c r="CX53" s="315"/>
      <c r="CY53" s="315"/>
      <c r="CZ53" s="315"/>
      <c r="DA53" s="315"/>
      <c r="DB53" s="315"/>
      <c r="DC53" s="315"/>
      <c r="DD53" s="315"/>
      <c r="DE53" s="315"/>
      <c r="DF53" s="315"/>
      <c r="DG53" s="315"/>
      <c r="DH53" s="315"/>
      <c r="DI53" s="315"/>
      <c r="DJ53" s="315"/>
      <c r="DK53" s="315"/>
      <c r="DL53" s="315"/>
      <c r="DM53" s="315"/>
      <c r="DN53" s="315"/>
      <c r="DO53" s="315"/>
      <c r="DP53" s="315"/>
      <c r="DQ53" s="315"/>
      <c r="DR53" s="315"/>
      <c r="DS53" s="315"/>
      <c r="DT53" s="315"/>
      <c r="DU53" s="315"/>
      <c r="DV53" s="315"/>
      <c r="DW53" s="315"/>
      <c r="DX53" s="315"/>
      <c r="DY53" s="315"/>
      <c r="DZ53" s="315"/>
      <c r="EA53" s="315"/>
      <c r="EB53" s="315"/>
      <c r="EC53" s="315"/>
      <c r="ED53" s="315"/>
      <c r="EE53" s="315"/>
      <c r="EF53" s="315"/>
      <c r="EG53" s="315"/>
      <c r="EH53" s="315"/>
      <c r="EI53" s="315"/>
      <c r="EJ53" s="315"/>
      <c r="EK53" s="315"/>
      <c r="EL53" s="315"/>
      <c r="EM53" s="315"/>
      <c r="EN53" s="315"/>
      <c r="EO53" s="315"/>
      <c r="EP53" s="315"/>
      <c r="EQ53" s="315"/>
      <c r="ER53" s="315"/>
      <c r="ES53" s="315"/>
      <c r="ET53" s="315"/>
      <c r="EU53" s="315"/>
      <c r="EV53" s="315"/>
      <c r="EW53" s="315"/>
      <c r="EX53" s="315"/>
      <c r="EY53" s="315"/>
      <c r="EZ53" s="315"/>
      <c r="FA53" s="315"/>
      <c r="FB53" s="315"/>
      <c r="FC53" s="315"/>
      <c r="FD53" s="315"/>
      <c r="FE53" s="315"/>
      <c r="FF53" s="315"/>
      <c r="FG53" s="315"/>
      <c r="FH53" s="315"/>
      <c r="FI53" s="315"/>
      <c r="FJ53" s="315"/>
      <c r="FK53" s="315"/>
      <c r="FL53" s="315"/>
      <c r="FM53" s="315"/>
      <c r="FN53" s="315"/>
      <c r="FO53" s="315"/>
      <c r="FP53" s="315"/>
      <c r="FQ53" s="315"/>
      <c r="FR53" s="315"/>
      <c r="FS53" s="315"/>
      <c r="FT53" s="315"/>
      <c r="FU53" s="315"/>
      <c r="FV53" s="315"/>
      <c r="FW53" s="315"/>
      <c r="FX53" s="315"/>
      <c r="FY53" s="315"/>
      <c r="FZ53" s="315"/>
      <c r="GA53" s="315"/>
      <c r="GB53" s="315"/>
      <c r="GC53" s="315"/>
      <c r="GD53" s="315"/>
      <c r="GE53" s="315"/>
      <c r="GF53" s="315"/>
      <c r="GG53" s="315"/>
      <c r="GH53" s="315"/>
      <c r="GI53" s="315"/>
      <c r="GJ53" s="315"/>
      <c r="GK53" s="315"/>
      <c r="GL53" s="315"/>
      <c r="GM53" s="315"/>
      <c r="GN53" s="315"/>
      <c r="GO53" s="315"/>
      <c r="GP53" s="315"/>
      <c r="GQ53" s="315"/>
      <c r="GR53" s="315"/>
      <c r="GS53" s="315"/>
      <c r="GT53" s="315"/>
      <c r="GU53" s="315"/>
      <c r="GV53" s="315"/>
      <c r="GW53" s="315"/>
      <c r="GX53" s="315"/>
      <c r="GY53" s="315"/>
      <c r="GZ53" s="315"/>
      <c r="HA53" s="315"/>
      <c r="HB53" s="315"/>
      <c r="HC53" s="315"/>
      <c r="HD53" s="315"/>
      <c r="HE53" s="315"/>
      <c r="HF53" s="315"/>
      <c r="HG53" s="315"/>
      <c r="HH53" s="315"/>
      <c r="HI53" s="315"/>
      <c r="HJ53" s="315"/>
      <c r="HK53" s="315"/>
      <c r="HL53" s="315"/>
      <c r="HM53" s="315"/>
      <c r="HN53" s="315"/>
      <c r="HO53" s="315"/>
      <c r="HP53" s="315"/>
      <c r="HQ53" s="315"/>
      <c r="HR53" s="315"/>
      <c r="HS53" s="315"/>
      <c r="HT53" s="315"/>
      <c r="HU53" s="315"/>
      <c r="HV53" s="315"/>
      <c r="HW53" s="315"/>
      <c r="HX53" s="315"/>
      <c r="HY53" s="315"/>
      <c r="HZ53" s="315"/>
      <c r="IA53" s="315"/>
      <c r="IB53" s="315"/>
      <c r="IC53" s="315"/>
      <c r="ID53" s="315"/>
      <c r="IE53" s="315"/>
      <c r="IF53" s="315"/>
      <c r="IG53" s="315"/>
      <c r="IH53" s="315"/>
      <c r="II53" s="315"/>
      <c r="IJ53" s="315"/>
      <c r="IK53" s="315"/>
      <c r="IL53" s="315"/>
      <c r="IM53" s="315"/>
      <c r="IN53" s="315"/>
      <c r="IO53" s="315"/>
      <c r="IP53" s="315"/>
      <c r="IQ53" s="315"/>
      <c r="IR53" s="315"/>
    </row>
    <row r="54" spans="1:252" ht="15">
      <c r="A54" s="292"/>
      <c r="B54" s="327" t="str">
        <f>'Cashflow Ann'!E15</f>
        <v>CF after capex</v>
      </c>
      <c r="C54" s="323"/>
      <c r="D54" s="324">
        <f ca="1">'Cashflow Ann'!J15</f>
        <v>2472193.3165630135</v>
      </c>
      <c r="E54" s="324">
        <f ca="1">'Cashflow Ann'!K15</f>
        <v>17863403.757426322</v>
      </c>
      <c r="F54" s="324">
        <f ca="1">'Cashflow Ann'!L15</f>
        <v>43926919.962376095</v>
      </c>
      <c r="G54" s="324">
        <f ca="1">'Cashflow Ann'!M15</f>
        <v>112103695.29917681</v>
      </c>
      <c r="H54" s="324">
        <f ca="1">'Cashflow Ann'!N15</f>
        <v>243017123.87633184</v>
      </c>
      <c r="I54" s="292"/>
      <c r="J54" s="292"/>
      <c r="K54" s="315"/>
      <c r="L54" s="315"/>
      <c r="M54" s="315"/>
      <c r="N54" s="315"/>
      <c r="O54" s="315"/>
      <c r="P54" s="315"/>
      <c r="Q54" s="315"/>
      <c r="R54" s="315"/>
      <c r="S54" s="315"/>
      <c r="T54" s="315"/>
      <c r="U54" s="315"/>
      <c r="V54" s="315"/>
      <c r="W54" s="315"/>
      <c r="X54" s="315"/>
      <c r="Y54" s="315"/>
      <c r="Z54" s="315"/>
      <c r="AA54" s="315"/>
      <c r="AB54" s="315"/>
      <c r="AC54" s="315"/>
      <c r="AD54" s="315"/>
      <c r="AE54" s="315"/>
      <c r="AF54" s="315"/>
      <c r="AG54" s="315"/>
      <c r="AH54" s="315"/>
      <c r="AI54" s="315"/>
      <c r="AJ54" s="315"/>
      <c r="AK54" s="315"/>
      <c r="AL54" s="315"/>
      <c r="AM54" s="315"/>
      <c r="AN54" s="315"/>
      <c r="AO54" s="315"/>
      <c r="AP54" s="315"/>
      <c r="AQ54" s="315"/>
      <c r="AR54" s="315"/>
      <c r="AS54" s="315"/>
      <c r="AT54" s="315"/>
      <c r="AU54" s="315"/>
      <c r="AV54" s="315"/>
      <c r="AW54" s="315"/>
      <c r="AX54" s="315"/>
      <c r="AY54" s="315"/>
      <c r="AZ54" s="315"/>
      <c r="BA54" s="315"/>
      <c r="BB54" s="315"/>
      <c r="BC54" s="315"/>
      <c r="BD54" s="315"/>
      <c r="BE54" s="315"/>
      <c r="BF54" s="315"/>
      <c r="BG54" s="315"/>
      <c r="BH54" s="315"/>
      <c r="BI54" s="315"/>
      <c r="BJ54" s="315"/>
      <c r="BK54" s="315"/>
      <c r="BL54" s="315"/>
      <c r="BM54" s="315"/>
      <c r="BN54" s="315"/>
      <c r="BO54" s="315"/>
      <c r="BP54" s="315"/>
      <c r="BQ54" s="315"/>
      <c r="BR54" s="315"/>
      <c r="BS54" s="315"/>
      <c r="BT54" s="315"/>
      <c r="BU54" s="315"/>
      <c r="BV54" s="315"/>
      <c r="BW54" s="315"/>
      <c r="BX54" s="315"/>
      <c r="BY54" s="315"/>
      <c r="BZ54" s="315"/>
      <c r="CA54" s="315"/>
      <c r="CB54" s="315"/>
      <c r="CC54" s="315"/>
      <c r="CD54" s="315"/>
      <c r="CE54" s="315"/>
      <c r="CF54" s="315"/>
      <c r="CG54" s="315"/>
      <c r="CH54" s="315"/>
      <c r="CI54" s="315"/>
      <c r="CJ54" s="315"/>
      <c r="CK54" s="315"/>
      <c r="CL54" s="315"/>
      <c r="CM54" s="315"/>
      <c r="CN54" s="315"/>
      <c r="CO54" s="315"/>
      <c r="CP54" s="315"/>
      <c r="CQ54" s="315"/>
      <c r="CR54" s="315"/>
      <c r="CS54" s="315"/>
      <c r="CT54" s="315"/>
      <c r="CU54" s="315"/>
      <c r="CV54" s="315"/>
      <c r="CW54" s="315"/>
      <c r="CX54" s="315"/>
      <c r="CY54" s="315"/>
      <c r="CZ54" s="315"/>
      <c r="DA54" s="315"/>
      <c r="DB54" s="315"/>
      <c r="DC54" s="315"/>
      <c r="DD54" s="315"/>
      <c r="DE54" s="315"/>
      <c r="DF54" s="315"/>
      <c r="DG54" s="315"/>
      <c r="DH54" s="315"/>
      <c r="DI54" s="315"/>
      <c r="DJ54" s="315"/>
      <c r="DK54" s="315"/>
      <c r="DL54" s="315"/>
      <c r="DM54" s="315"/>
      <c r="DN54" s="315"/>
      <c r="DO54" s="315"/>
      <c r="DP54" s="315"/>
      <c r="DQ54" s="315"/>
      <c r="DR54" s="315"/>
      <c r="DS54" s="315"/>
      <c r="DT54" s="315"/>
      <c r="DU54" s="315"/>
      <c r="DV54" s="315"/>
      <c r="DW54" s="315"/>
      <c r="DX54" s="315"/>
      <c r="DY54" s="315"/>
      <c r="DZ54" s="315"/>
      <c r="EA54" s="315"/>
      <c r="EB54" s="315"/>
      <c r="EC54" s="315"/>
      <c r="ED54" s="315"/>
      <c r="EE54" s="315"/>
      <c r="EF54" s="315"/>
      <c r="EG54" s="315"/>
      <c r="EH54" s="315"/>
      <c r="EI54" s="315"/>
      <c r="EJ54" s="315"/>
      <c r="EK54" s="315"/>
      <c r="EL54" s="315"/>
      <c r="EM54" s="315"/>
      <c r="EN54" s="315"/>
      <c r="EO54" s="315"/>
      <c r="EP54" s="315"/>
      <c r="EQ54" s="315"/>
      <c r="ER54" s="315"/>
      <c r="ES54" s="315"/>
      <c r="ET54" s="315"/>
      <c r="EU54" s="315"/>
      <c r="EV54" s="315"/>
      <c r="EW54" s="315"/>
      <c r="EX54" s="315"/>
      <c r="EY54" s="315"/>
      <c r="EZ54" s="315"/>
      <c r="FA54" s="315"/>
      <c r="FB54" s="315"/>
      <c r="FC54" s="315"/>
      <c r="FD54" s="315"/>
      <c r="FE54" s="315"/>
      <c r="FF54" s="315"/>
      <c r="FG54" s="315"/>
      <c r="FH54" s="315"/>
      <c r="FI54" s="315"/>
      <c r="FJ54" s="315"/>
      <c r="FK54" s="315"/>
      <c r="FL54" s="315"/>
      <c r="FM54" s="315"/>
      <c r="FN54" s="315"/>
      <c r="FO54" s="315"/>
      <c r="FP54" s="315"/>
      <c r="FQ54" s="315"/>
      <c r="FR54" s="315"/>
      <c r="FS54" s="315"/>
      <c r="FT54" s="315"/>
      <c r="FU54" s="315"/>
      <c r="FV54" s="315"/>
      <c r="FW54" s="315"/>
      <c r="FX54" s="315"/>
      <c r="FY54" s="315"/>
      <c r="FZ54" s="315"/>
      <c r="GA54" s="315"/>
      <c r="GB54" s="315"/>
      <c r="GC54" s="315"/>
      <c r="GD54" s="315"/>
      <c r="GE54" s="315"/>
      <c r="GF54" s="315"/>
      <c r="GG54" s="315"/>
      <c r="GH54" s="315"/>
      <c r="GI54" s="315"/>
      <c r="GJ54" s="315"/>
      <c r="GK54" s="315"/>
      <c r="GL54" s="315"/>
      <c r="GM54" s="315"/>
      <c r="GN54" s="315"/>
      <c r="GO54" s="315"/>
      <c r="GP54" s="315"/>
      <c r="GQ54" s="315"/>
      <c r="GR54" s="315"/>
      <c r="GS54" s="315"/>
      <c r="GT54" s="315"/>
      <c r="GU54" s="315"/>
      <c r="GV54" s="315"/>
      <c r="GW54" s="315"/>
      <c r="GX54" s="315"/>
      <c r="GY54" s="315"/>
      <c r="GZ54" s="315"/>
      <c r="HA54" s="315"/>
      <c r="HB54" s="315"/>
      <c r="HC54" s="315"/>
      <c r="HD54" s="315"/>
      <c r="HE54" s="315"/>
      <c r="HF54" s="315"/>
      <c r="HG54" s="315"/>
      <c r="HH54" s="315"/>
      <c r="HI54" s="315"/>
      <c r="HJ54" s="315"/>
      <c r="HK54" s="315"/>
      <c r="HL54" s="315"/>
      <c r="HM54" s="315"/>
      <c r="HN54" s="315"/>
      <c r="HO54" s="315"/>
      <c r="HP54" s="315"/>
      <c r="HQ54" s="315"/>
      <c r="HR54" s="315"/>
      <c r="HS54" s="315"/>
      <c r="HT54" s="315"/>
      <c r="HU54" s="315"/>
      <c r="HV54" s="315"/>
      <c r="HW54" s="315"/>
      <c r="HX54" s="315"/>
      <c r="HY54" s="315"/>
      <c r="HZ54" s="315"/>
      <c r="IA54" s="315"/>
      <c r="IB54" s="315"/>
      <c r="IC54" s="315"/>
      <c r="ID54" s="315"/>
      <c r="IE54" s="315"/>
      <c r="IF54" s="315"/>
      <c r="IG54" s="315"/>
      <c r="IH54" s="315"/>
      <c r="II54" s="315"/>
      <c r="IJ54" s="315"/>
      <c r="IK54" s="315"/>
      <c r="IL54" s="315"/>
      <c r="IM54" s="315"/>
      <c r="IN54" s="315"/>
      <c r="IO54" s="315"/>
      <c r="IP54" s="315"/>
      <c r="IQ54" s="315"/>
      <c r="IR54" s="315"/>
    </row>
    <row r="55" spans="1:252" ht="15">
      <c r="A55" s="292"/>
      <c r="B55" s="294"/>
      <c r="C55" s="292"/>
      <c r="D55" s="321"/>
      <c r="E55" s="321"/>
      <c r="F55" s="321"/>
      <c r="G55" s="321"/>
      <c r="H55" s="321"/>
      <c r="I55" s="292"/>
      <c r="J55" s="292"/>
      <c r="K55" s="315"/>
      <c r="L55" s="315"/>
      <c r="M55" s="315"/>
      <c r="N55" s="315"/>
      <c r="O55" s="315"/>
      <c r="P55" s="315"/>
      <c r="Q55" s="315"/>
      <c r="R55" s="315"/>
      <c r="S55" s="315"/>
      <c r="T55" s="315"/>
      <c r="U55" s="315"/>
      <c r="V55" s="315"/>
      <c r="W55" s="315"/>
      <c r="X55" s="315"/>
      <c r="Y55" s="315"/>
      <c r="Z55" s="315"/>
      <c r="AA55" s="315"/>
      <c r="AB55" s="315"/>
      <c r="AC55" s="315"/>
      <c r="AD55" s="315"/>
      <c r="AE55" s="315"/>
      <c r="AF55" s="315"/>
      <c r="AG55" s="315"/>
      <c r="AH55" s="315"/>
      <c r="AI55" s="315"/>
      <c r="AJ55" s="315"/>
      <c r="AK55" s="315"/>
      <c r="AL55" s="315"/>
      <c r="AM55" s="315"/>
      <c r="AN55" s="315"/>
      <c r="AO55" s="315"/>
      <c r="AP55" s="315"/>
      <c r="AQ55" s="315"/>
      <c r="AR55" s="315"/>
      <c r="AS55" s="315"/>
      <c r="AT55" s="315"/>
      <c r="AU55" s="315"/>
      <c r="AV55" s="315"/>
      <c r="AW55" s="315"/>
      <c r="AX55" s="315"/>
      <c r="AY55" s="315"/>
      <c r="AZ55" s="315"/>
      <c r="BA55" s="315"/>
      <c r="BB55" s="315"/>
      <c r="BC55" s="315"/>
      <c r="BD55" s="315"/>
      <c r="BE55" s="315"/>
      <c r="BF55" s="315"/>
      <c r="BG55" s="315"/>
      <c r="BH55" s="315"/>
      <c r="BI55" s="315"/>
      <c r="BJ55" s="315"/>
      <c r="BK55" s="315"/>
      <c r="BL55" s="315"/>
      <c r="BM55" s="315"/>
      <c r="BN55" s="315"/>
      <c r="BO55" s="315"/>
      <c r="BP55" s="315"/>
      <c r="BQ55" s="315"/>
      <c r="BR55" s="315"/>
      <c r="BS55" s="315"/>
      <c r="BT55" s="315"/>
      <c r="BU55" s="315"/>
      <c r="BV55" s="315"/>
      <c r="BW55" s="315"/>
      <c r="BX55" s="315"/>
      <c r="BY55" s="315"/>
      <c r="BZ55" s="315"/>
      <c r="CA55" s="315"/>
      <c r="CB55" s="315"/>
      <c r="CC55" s="315"/>
      <c r="CD55" s="315"/>
      <c r="CE55" s="315"/>
      <c r="CF55" s="315"/>
      <c r="CG55" s="315"/>
      <c r="CH55" s="315"/>
      <c r="CI55" s="315"/>
      <c r="CJ55" s="315"/>
      <c r="CK55" s="315"/>
      <c r="CL55" s="315"/>
      <c r="CM55" s="315"/>
      <c r="CN55" s="315"/>
      <c r="CO55" s="315"/>
      <c r="CP55" s="315"/>
      <c r="CQ55" s="315"/>
      <c r="CR55" s="315"/>
      <c r="CS55" s="315"/>
      <c r="CT55" s="315"/>
      <c r="CU55" s="315"/>
      <c r="CV55" s="315"/>
      <c r="CW55" s="315"/>
      <c r="CX55" s="315"/>
      <c r="CY55" s="315"/>
      <c r="CZ55" s="315"/>
      <c r="DA55" s="315"/>
      <c r="DB55" s="315"/>
      <c r="DC55" s="315"/>
      <c r="DD55" s="315"/>
      <c r="DE55" s="315"/>
      <c r="DF55" s="315"/>
      <c r="DG55" s="315"/>
      <c r="DH55" s="315"/>
      <c r="DI55" s="315"/>
      <c r="DJ55" s="315"/>
      <c r="DK55" s="315"/>
      <c r="DL55" s="315"/>
      <c r="DM55" s="315"/>
      <c r="DN55" s="315"/>
      <c r="DO55" s="315"/>
      <c r="DP55" s="315"/>
      <c r="DQ55" s="315"/>
      <c r="DR55" s="315"/>
      <c r="DS55" s="315"/>
      <c r="DT55" s="315"/>
      <c r="DU55" s="315"/>
      <c r="DV55" s="315"/>
      <c r="DW55" s="315"/>
      <c r="DX55" s="315"/>
      <c r="DY55" s="315"/>
      <c r="DZ55" s="315"/>
      <c r="EA55" s="315"/>
      <c r="EB55" s="315"/>
      <c r="EC55" s="315"/>
      <c r="ED55" s="315"/>
      <c r="EE55" s="315"/>
      <c r="EF55" s="315"/>
      <c r="EG55" s="315"/>
      <c r="EH55" s="315"/>
      <c r="EI55" s="315"/>
      <c r="EJ55" s="315"/>
      <c r="EK55" s="315"/>
      <c r="EL55" s="315"/>
      <c r="EM55" s="315"/>
      <c r="EN55" s="315"/>
      <c r="EO55" s="315"/>
      <c r="EP55" s="315"/>
      <c r="EQ55" s="315"/>
      <c r="ER55" s="315"/>
      <c r="ES55" s="315"/>
      <c r="ET55" s="315"/>
      <c r="EU55" s="315"/>
      <c r="EV55" s="315"/>
      <c r="EW55" s="315"/>
      <c r="EX55" s="315"/>
      <c r="EY55" s="315"/>
      <c r="EZ55" s="315"/>
      <c r="FA55" s="315"/>
      <c r="FB55" s="315"/>
      <c r="FC55" s="315"/>
      <c r="FD55" s="315"/>
      <c r="FE55" s="315"/>
      <c r="FF55" s="315"/>
      <c r="FG55" s="315"/>
      <c r="FH55" s="315"/>
      <c r="FI55" s="315"/>
      <c r="FJ55" s="315"/>
      <c r="FK55" s="315"/>
      <c r="FL55" s="315"/>
      <c r="FM55" s="315"/>
      <c r="FN55" s="315"/>
      <c r="FO55" s="315"/>
      <c r="FP55" s="315"/>
      <c r="FQ55" s="315"/>
      <c r="FR55" s="315"/>
      <c r="FS55" s="315"/>
      <c r="FT55" s="315"/>
      <c r="FU55" s="315"/>
      <c r="FV55" s="315"/>
      <c r="FW55" s="315"/>
      <c r="FX55" s="315"/>
      <c r="FY55" s="315"/>
      <c r="FZ55" s="315"/>
      <c r="GA55" s="315"/>
      <c r="GB55" s="315"/>
      <c r="GC55" s="315"/>
      <c r="GD55" s="315"/>
      <c r="GE55" s="315"/>
      <c r="GF55" s="315"/>
      <c r="GG55" s="315"/>
      <c r="GH55" s="315"/>
      <c r="GI55" s="315"/>
      <c r="GJ55" s="315"/>
      <c r="GK55" s="315"/>
      <c r="GL55" s="315"/>
      <c r="GM55" s="315"/>
      <c r="GN55" s="315"/>
      <c r="GO55" s="315"/>
      <c r="GP55" s="315"/>
      <c r="GQ55" s="315"/>
      <c r="GR55" s="315"/>
      <c r="GS55" s="315"/>
      <c r="GT55" s="315"/>
      <c r="GU55" s="315"/>
      <c r="GV55" s="315"/>
      <c r="GW55" s="315"/>
      <c r="GX55" s="315"/>
      <c r="GY55" s="315"/>
      <c r="GZ55" s="315"/>
      <c r="HA55" s="315"/>
      <c r="HB55" s="315"/>
      <c r="HC55" s="315"/>
      <c r="HD55" s="315"/>
      <c r="HE55" s="315"/>
      <c r="HF55" s="315"/>
      <c r="HG55" s="315"/>
      <c r="HH55" s="315"/>
      <c r="HI55" s="315"/>
      <c r="HJ55" s="315"/>
      <c r="HK55" s="315"/>
      <c r="HL55" s="315"/>
      <c r="HM55" s="315"/>
      <c r="HN55" s="315"/>
      <c r="HO55" s="315"/>
      <c r="HP55" s="315"/>
      <c r="HQ55" s="315"/>
      <c r="HR55" s="315"/>
      <c r="HS55" s="315"/>
      <c r="HT55" s="315"/>
      <c r="HU55" s="315"/>
      <c r="HV55" s="315"/>
      <c r="HW55" s="315"/>
      <c r="HX55" s="315"/>
      <c r="HY55" s="315"/>
      <c r="HZ55" s="315"/>
      <c r="IA55" s="315"/>
      <c r="IB55" s="315"/>
      <c r="IC55" s="315"/>
      <c r="ID55" s="315"/>
      <c r="IE55" s="315"/>
      <c r="IF55" s="315"/>
      <c r="IG55" s="315"/>
      <c r="IH55" s="315"/>
      <c r="II55" s="315"/>
      <c r="IJ55" s="315"/>
      <c r="IK55" s="315"/>
      <c r="IL55" s="315"/>
      <c r="IM55" s="315"/>
      <c r="IN55" s="315"/>
      <c r="IO55" s="315"/>
      <c r="IP55" s="315"/>
      <c r="IQ55" s="315"/>
      <c r="IR55" s="315"/>
    </row>
    <row r="56" spans="1:252" ht="15">
      <c r="A56" s="292"/>
      <c r="B56" s="316" t="str">
        <f>'Cashflow Ann'!E17</f>
        <v>Supply Chain Finance drawdown</v>
      </c>
      <c r="C56" s="292"/>
      <c r="D56" s="321">
        <f>'Cashflow Ann'!J17</f>
        <v>0</v>
      </c>
      <c r="E56" s="321">
        <f ca="1">'Cashflow Ann'!K17</f>
        <v>0</v>
      </c>
      <c r="F56" s="321">
        <f ca="1">'Cashflow Ann'!L17</f>
        <v>0</v>
      </c>
      <c r="G56" s="321">
        <f ca="1">'Cashflow Ann'!M17</f>
        <v>0</v>
      </c>
      <c r="H56" s="321">
        <f ca="1">'Cashflow Ann'!N17</f>
        <v>0</v>
      </c>
      <c r="I56" s="292"/>
      <c r="J56" s="292"/>
      <c r="K56" s="315"/>
      <c r="L56" s="315"/>
      <c r="M56" s="315"/>
      <c r="N56" s="315"/>
      <c r="O56" s="315"/>
      <c r="P56" s="315"/>
      <c r="Q56" s="315"/>
      <c r="R56" s="315"/>
      <c r="S56" s="315"/>
      <c r="T56" s="315"/>
      <c r="U56" s="315"/>
      <c r="V56" s="315"/>
      <c r="W56" s="315"/>
      <c r="X56" s="315"/>
      <c r="Y56" s="315"/>
      <c r="Z56" s="315"/>
      <c r="AA56" s="315"/>
      <c r="AB56" s="315"/>
      <c r="AC56" s="315"/>
      <c r="AD56" s="315"/>
      <c r="AE56" s="315"/>
      <c r="AF56" s="315"/>
      <c r="AG56" s="315"/>
      <c r="AH56" s="315"/>
      <c r="AI56" s="315"/>
      <c r="AJ56" s="315"/>
      <c r="AK56" s="315"/>
      <c r="AL56" s="315"/>
      <c r="AM56" s="315"/>
      <c r="AN56" s="315"/>
      <c r="AO56" s="315"/>
      <c r="AP56" s="315"/>
      <c r="AQ56" s="315"/>
      <c r="AR56" s="315"/>
      <c r="AS56" s="315"/>
      <c r="AT56" s="315"/>
      <c r="AU56" s="315"/>
      <c r="AV56" s="315"/>
      <c r="AW56" s="315"/>
      <c r="AX56" s="315"/>
      <c r="AY56" s="315"/>
      <c r="AZ56" s="315"/>
      <c r="BA56" s="315"/>
      <c r="BB56" s="315"/>
      <c r="BC56" s="315"/>
      <c r="BD56" s="315"/>
      <c r="BE56" s="315"/>
      <c r="BF56" s="315"/>
      <c r="BG56" s="315"/>
      <c r="BH56" s="315"/>
      <c r="BI56" s="315"/>
      <c r="BJ56" s="315"/>
      <c r="BK56" s="315"/>
      <c r="BL56" s="315"/>
      <c r="BM56" s="315"/>
      <c r="BN56" s="315"/>
      <c r="BO56" s="315"/>
      <c r="BP56" s="315"/>
      <c r="BQ56" s="315"/>
      <c r="BR56" s="315"/>
      <c r="BS56" s="315"/>
      <c r="BT56" s="315"/>
      <c r="BU56" s="315"/>
      <c r="BV56" s="315"/>
      <c r="BW56" s="315"/>
      <c r="BX56" s="315"/>
      <c r="BY56" s="315"/>
      <c r="BZ56" s="315"/>
      <c r="CA56" s="315"/>
      <c r="CB56" s="315"/>
      <c r="CC56" s="315"/>
      <c r="CD56" s="315"/>
      <c r="CE56" s="315"/>
      <c r="CF56" s="315"/>
      <c r="CG56" s="315"/>
      <c r="CH56" s="315"/>
      <c r="CI56" s="315"/>
      <c r="CJ56" s="315"/>
      <c r="CK56" s="315"/>
      <c r="CL56" s="315"/>
      <c r="CM56" s="315"/>
      <c r="CN56" s="315"/>
      <c r="CO56" s="315"/>
      <c r="CP56" s="315"/>
      <c r="CQ56" s="315"/>
      <c r="CR56" s="315"/>
      <c r="CS56" s="315"/>
      <c r="CT56" s="315"/>
      <c r="CU56" s="315"/>
      <c r="CV56" s="315"/>
      <c r="CW56" s="315"/>
      <c r="CX56" s="315"/>
      <c r="CY56" s="315"/>
      <c r="CZ56" s="315"/>
      <c r="DA56" s="315"/>
      <c r="DB56" s="315"/>
      <c r="DC56" s="315"/>
      <c r="DD56" s="315"/>
      <c r="DE56" s="315"/>
      <c r="DF56" s="315"/>
      <c r="DG56" s="315"/>
      <c r="DH56" s="315"/>
      <c r="DI56" s="315"/>
      <c r="DJ56" s="315"/>
      <c r="DK56" s="315"/>
      <c r="DL56" s="315"/>
      <c r="DM56" s="315"/>
      <c r="DN56" s="315"/>
      <c r="DO56" s="315"/>
      <c r="DP56" s="315"/>
      <c r="DQ56" s="315"/>
      <c r="DR56" s="315"/>
      <c r="DS56" s="315"/>
      <c r="DT56" s="315"/>
      <c r="DU56" s="315"/>
      <c r="DV56" s="315"/>
      <c r="DW56" s="315"/>
      <c r="DX56" s="315"/>
      <c r="DY56" s="315"/>
      <c r="DZ56" s="315"/>
      <c r="EA56" s="315"/>
      <c r="EB56" s="315"/>
      <c r="EC56" s="315"/>
      <c r="ED56" s="315"/>
      <c r="EE56" s="315"/>
      <c r="EF56" s="315"/>
      <c r="EG56" s="315"/>
      <c r="EH56" s="315"/>
      <c r="EI56" s="315"/>
      <c r="EJ56" s="315"/>
      <c r="EK56" s="315"/>
      <c r="EL56" s="315"/>
      <c r="EM56" s="315"/>
      <c r="EN56" s="315"/>
      <c r="EO56" s="315"/>
      <c r="EP56" s="315"/>
      <c r="EQ56" s="315"/>
      <c r="ER56" s="315"/>
      <c r="ES56" s="315"/>
      <c r="ET56" s="315"/>
      <c r="EU56" s="315"/>
      <c r="EV56" s="315"/>
      <c r="EW56" s="315"/>
      <c r="EX56" s="315"/>
      <c r="EY56" s="315"/>
      <c r="EZ56" s="315"/>
      <c r="FA56" s="315"/>
      <c r="FB56" s="315"/>
      <c r="FC56" s="315"/>
      <c r="FD56" s="315"/>
      <c r="FE56" s="315"/>
      <c r="FF56" s="315"/>
      <c r="FG56" s="315"/>
      <c r="FH56" s="315"/>
      <c r="FI56" s="315"/>
      <c r="FJ56" s="315"/>
      <c r="FK56" s="315"/>
      <c r="FL56" s="315"/>
      <c r="FM56" s="315"/>
      <c r="FN56" s="315"/>
      <c r="FO56" s="315"/>
      <c r="FP56" s="315"/>
      <c r="FQ56" s="315"/>
      <c r="FR56" s="315"/>
      <c r="FS56" s="315"/>
      <c r="FT56" s="315"/>
      <c r="FU56" s="315"/>
      <c r="FV56" s="315"/>
      <c r="FW56" s="315"/>
      <c r="FX56" s="315"/>
      <c r="FY56" s="315"/>
      <c r="FZ56" s="315"/>
      <c r="GA56" s="315"/>
      <c r="GB56" s="315"/>
      <c r="GC56" s="315"/>
      <c r="GD56" s="315"/>
      <c r="GE56" s="315"/>
      <c r="GF56" s="315"/>
      <c r="GG56" s="315"/>
      <c r="GH56" s="315"/>
      <c r="GI56" s="315"/>
      <c r="GJ56" s="315"/>
      <c r="GK56" s="315"/>
      <c r="GL56" s="315"/>
      <c r="GM56" s="315"/>
      <c r="GN56" s="315"/>
      <c r="GO56" s="315"/>
      <c r="GP56" s="315"/>
      <c r="GQ56" s="315"/>
      <c r="GR56" s="315"/>
      <c r="GS56" s="315"/>
      <c r="GT56" s="315"/>
      <c r="GU56" s="315"/>
      <c r="GV56" s="315"/>
      <c r="GW56" s="315"/>
      <c r="GX56" s="315"/>
      <c r="GY56" s="315"/>
      <c r="GZ56" s="315"/>
      <c r="HA56" s="315"/>
      <c r="HB56" s="315"/>
      <c r="HC56" s="315"/>
      <c r="HD56" s="315"/>
      <c r="HE56" s="315"/>
      <c r="HF56" s="315"/>
      <c r="HG56" s="315"/>
      <c r="HH56" s="315"/>
      <c r="HI56" s="315"/>
      <c r="HJ56" s="315"/>
      <c r="HK56" s="315"/>
      <c r="HL56" s="315"/>
      <c r="HM56" s="315"/>
      <c r="HN56" s="315"/>
      <c r="HO56" s="315"/>
      <c r="HP56" s="315"/>
      <c r="HQ56" s="315"/>
      <c r="HR56" s="315"/>
      <c r="HS56" s="315"/>
      <c r="HT56" s="315"/>
      <c r="HU56" s="315"/>
      <c r="HV56" s="315"/>
      <c r="HW56" s="315"/>
      <c r="HX56" s="315"/>
      <c r="HY56" s="315"/>
      <c r="HZ56" s="315"/>
      <c r="IA56" s="315"/>
      <c r="IB56" s="315"/>
      <c r="IC56" s="315"/>
      <c r="ID56" s="315"/>
      <c r="IE56" s="315"/>
      <c r="IF56" s="315"/>
      <c r="IG56" s="315"/>
      <c r="IH56" s="315"/>
      <c r="II56" s="315"/>
      <c r="IJ56" s="315"/>
      <c r="IK56" s="315"/>
      <c r="IL56" s="315"/>
      <c r="IM56" s="315"/>
      <c r="IN56" s="315"/>
      <c r="IO56" s="315"/>
      <c r="IP56" s="315"/>
      <c r="IQ56" s="315"/>
      <c r="IR56" s="315"/>
    </row>
    <row r="57" spans="1:252" ht="15">
      <c r="A57" s="292"/>
      <c r="B57" s="316" t="str">
        <f>'Cashflow Ann'!E18</f>
        <v xml:space="preserve">Supply Chain Finance principal repayment </v>
      </c>
      <c r="C57" s="292"/>
      <c r="D57" s="321">
        <f ca="1">'Cashflow Ann'!J18</f>
        <v>0</v>
      </c>
      <c r="E57" s="321">
        <f ca="1">'Cashflow Ann'!K18</f>
        <v>0</v>
      </c>
      <c r="F57" s="321">
        <f ca="1">'Cashflow Ann'!L18</f>
        <v>0</v>
      </c>
      <c r="G57" s="321">
        <f ca="1">'Cashflow Ann'!M18</f>
        <v>0</v>
      </c>
      <c r="H57" s="321">
        <f ca="1">'Cashflow Ann'!N18</f>
        <v>0</v>
      </c>
      <c r="I57" s="292"/>
      <c r="J57" s="292"/>
      <c r="K57" s="315"/>
      <c r="L57" s="315"/>
      <c r="M57" s="315"/>
      <c r="N57" s="315"/>
      <c r="O57" s="315"/>
      <c r="P57" s="315"/>
      <c r="Q57" s="315"/>
      <c r="R57" s="315"/>
      <c r="S57" s="315"/>
      <c r="T57" s="315"/>
      <c r="U57" s="315"/>
      <c r="V57" s="315"/>
      <c r="W57" s="315"/>
      <c r="X57" s="315"/>
      <c r="Y57" s="315"/>
      <c r="Z57" s="315"/>
      <c r="AA57" s="315"/>
      <c r="AB57" s="315"/>
      <c r="AC57" s="315"/>
      <c r="AD57" s="315"/>
      <c r="AE57" s="315"/>
      <c r="AF57" s="315"/>
      <c r="AG57" s="315"/>
      <c r="AH57" s="315"/>
      <c r="AI57" s="315"/>
      <c r="AJ57" s="315"/>
      <c r="AK57" s="315"/>
      <c r="AL57" s="315"/>
      <c r="AM57" s="315"/>
      <c r="AN57" s="315"/>
      <c r="AO57" s="315"/>
      <c r="AP57" s="315"/>
      <c r="AQ57" s="315"/>
      <c r="AR57" s="315"/>
      <c r="AS57" s="315"/>
      <c r="AT57" s="315"/>
      <c r="AU57" s="315"/>
      <c r="AV57" s="315"/>
      <c r="AW57" s="315"/>
      <c r="AX57" s="315"/>
      <c r="AY57" s="315"/>
      <c r="AZ57" s="315"/>
      <c r="BA57" s="315"/>
      <c r="BB57" s="315"/>
      <c r="BC57" s="315"/>
      <c r="BD57" s="315"/>
      <c r="BE57" s="315"/>
      <c r="BF57" s="315"/>
      <c r="BG57" s="315"/>
      <c r="BH57" s="315"/>
      <c r="BI57" s="315"/>
      <c r="BJ57" s="315"/>
      <c r="BK57" s="315"/>
      <c r="BL57" s="315"/>
      <c r="BM57" s="315"/>
      <c r="BN57" s="315"/>
      <c r="BO57" s="315"/>
      <c r="BP57" s="315"/>
      <c r="BQ57" s="315"/>
      <c r="BR57" s="315"/>
      <c r="BS57" s="315"/>
      <c r="BT57" s="315"/>
      <c r="BU57" s="315"/>
      <c r="BV57" s="315"/>
      <c r="BW57" s="315"/>
      <c r="BX57" s="315"/>
      <c r="BY57" s="315"/>
      <c r="BZ57" s="315"/>
      <c r="CA57" s="315"/>
      <c r="CB57" s="315"/>
      <c r="CC57" s="315"/>
      <c r="CD57" s="315"/>
      <c r="CE57" s="315"/>
      <c r="CF57" s="315"/>
      <c r="CG57" s="315"/>
      <c r="CH57" s="315"/>
      <c r="CI57" s="315"/>
      <c r="CJ57" s="315"/>
      <c r="CK57" s="315"/>
      <c r="CL57" s="315"/>
      <c r="CM57" s="315"/>
      <c r="CN57" s="315"/>
      <c r="CO57" s="315"/>
      <c r="CP57" s="315"/>
      <c r="CQ57" s="315"/>
      <c r="CR57" s="315"/>
      <c r="CS57" s="315"/>
      <c r="CT57" s="315"/>
      <c r="CU57" s="315"/>
      <c r="CV57" s="315"/>
      <c r="CW57" s="315"/>
      <c r="CX57" s="315"/>
      <c r="CY57" s="315"/>
      <c r="CZ57" s="315"/>
      <c r="DA57" s="315"/>
      <c r="DB57" s="315"/>
      <c r="DC57" s="315"/>
      <c r="DD57" s="315"/>
      <c r="DE57" s="315"/>
      <c r="DF57" s="315"/>
      <c r="DG57" s="315"/>
      <c r="DH57" s="315"/>
      <c r="DI57" s="315"/>
      <c r="DJ57" s="315"/>
      <c r="DK57" s="315"/>
      <c r="DL57" s="315"/>
      <c r="DM57" s="315"/>
      <c r="DN57" s="315"/>
      <c r="DO57" s="315"/>
      <c r="DP57" s="315"/>
      <c r="DQ57" s="315"/>
      <c r="DR57" s="315"/>
      <c r="DS57" s="315"/>
      <c r="DT57" s="315"/>
      <c r="DU57" s="315"/>
      <c r="DV57" s="315"/>
      <c r="DW57" s="315"/>
      <c r="DX57" s="315"/>
      <c r="DY57" s="315"/>
      <c r="DZ57" s="315"/>
      <c r="EA57" s="315"/>
      <c r="EB57" s="315"/>
      <c r="EC57" s="315"/>
      <c r="ED57" s="315"/>
      <c r="EE57" s="315"/>
      <c r="EF57" s="315"/>
      <c r="EG57" s="315"/>
      <c r="EH57" s="315"/>
      <c r="EI57" s="315"/>
      <c r="EJ57" s="315"/>
      <c r="EK57" s="315"/>
      <c r="EL57" s="315"/>
      <c r="EM57" s="315"/>
      <c r="EN57" s="315"/>
      <c r="EO57" s="315"/>
      <c r="EP57" s="315"/>
      <c r="EQ57" s="315"/>
      <c r="ER57" s="315"/>
      <c r="ES57" s="315"/>
      <c r="ET57" s="315"/>
      <c r="EU57" s="315"/>
      <c r="EV57" s="315"/>
      <c r="EW57" s="315"/>
      <c r="EX57" s="315"/>
      <c r="EY57" s="315"/>
      <c r="EZ57" s="315"/>
      <c r="FA57" s="315"/>
      <c r="FB57" s="315"/>
      <c r="FC57" s="315"/>
      <c r="FD57" s="315"/>
      <c r="FE57" s="315"/>
      <c r="FF57" s="315"/>
      <c r="FG57" s="315"/>
      <c r="FH57" s="315"/>
      <c r="FI57" s="315"/>
      <c r="FJ57" s="315"/>
      <c r="FK57" s="315"/>
      <c r="FL57" s="315"/>
      <c r="FM57" s="315"/>
      <c r="FN57" s="315"/>
      <c r="FO57" s="315"/>
      <c r="FP57" s="315"/>
      <c r="FQ57" s="315"/>
      <c r="FR57" s="315"/>
      <c r="FS57" s="315"/>
      <c r="FT57" s="315"/>
      <c r="FU57" s="315"/>
      <c r="FV57" s="315"/>
      <c r="FW57" s="315"/>
      <c r="FX57" s="315"/>
      <c r="FY57" s="315"/>
      <c r="FZ57" s="315"/>
      <c r="GA57" s="315"/>
      <c r="GB57" s="315"/>
      <c r="GC57" s="315"/>
      <c r="GD57" s="315"/>
      <c r="GE57" s="315"/>
      <c r="GF57" s="315"/>
      <c r="GG57" s="315"/>
      <c r="GH57" s="315"/>
      <c r="GI57" s="315"/>
      <c r="GJ57" s="315"/>
      <c r="GK57" s="315"/>
      <c r="GL57" s="315"/>
      <c r="GM57" s="315"/>
      <c r="GN57" s="315"/>
      <c r="GO57" s="315"/>
      <c r="GP57" s="315"/>
      <c r="GQ57" s="315"/>
      <c r="GR57" s="315"/>
      <c r="GS57" s="315"/>
      <c r="GT57" s="315"/>
      <c r="GU57" s="315"/>
      <c r="GV57" s="315"/>
      <c r="GW57" s="315"/>
      <c r="GX57" s="315"/>
      <c r="GY57" s="315"/>
      <c r="GZ57" s="315"/>
      <c r="HA57" s="315"/>
      <c r="HB57" s="315"/>
      <c r="HC57" s="315"/>
      <c r="HD57" s="315"/>
      <c r="HE57" s="315"/>
      <c r="HF57" s="315"/>
      <c r="HG57" s="315"/>
      <c r="HH57" s="315"/>
      <c r="HI57" s="315"/>
      <c r="HJ57" s="315"/>
      <c r="HK57" s="315"/>
      <c r="HL57" s="315"/>
      <c r="HM57" s="315"/>
      <c r="HN57" s="315"/>
      <c r="HO57" s="315"/>
      <c r="HP57" s="315"/>
      <c r="HQ57" s="315"/>
      <c r="HR57" s="315"/>
      <c r="HS57" s="315"/>
      <c r="HT57" s="315"/>
      <c r="HU57" s="315"/>
      <c r="HV57" s="315"/>
      <c r="HW57" s="315"/>
      <c r="HX57" s="315"/>
      <c r="HY57" s="315"/>
      <c r="HZ57" s="315"/>
      <c r="IA57" s="315"/>
      <c r="IB57" s="315"/>
      <c r="IC57" s="315"/>
      <c r="ID57" s="315"/>
      <c r="IE57" s="315"/>
      <c r="IF57" s="315"/>
      <c r="IG57" s="315"/>
      <c r="IH57" s="315"/>
      <c r="II57" s="315"/>
      <c r="IJ57" s="315"/>
      <c r="IK57" s="315"/>
      <c r="IL57" s="315"/>
      <c r="IM57" s="315"/>
      <c r="IN57" s="315"/>
      <c r="IO57" s="315"/>
      <c r="IP57" s="315"/>
      <c r="IQ57" s="315"/>
      <c r="IR57" s="315"/>
    </row>
    <row r="58" spans="1:252" ht="15">
      <c r="A58" s="292"/>
      <c r="B58" s="316" t="str">
        <f>'Cashflow Ann'!E19</f>
        <v>Invoice finance drawdown</v>
      </c>
      <c r="C58" s="292"/>
      <c r="D58" s="321">
        <f ca="1">'Cashflow Ann'!J19</f>
        <v>0</v>
      </c>
      <c r="E58" s="321">
        <f ca="1">'Cashflow Ann'!K19</f>
        <v>0</v>
      </c>
      <c r="F58" s="321">
        <f ca="1">'Cashflow Ann'!L19</f>
        <v>0</v>
      </c>
      <c r="G58" s="321">
        <f ca="1">'Cashflow Ann'!M19</f>
        <v>0</v>
      </c>
      <c r="H58" s="321">
        <f ca="1">'Cashflow Ann'!N19</f>
        <v>0</v>
      </c>
      <c r="I58" s="292"/>
      <c r="J58" s="292"/>
      <c r="K58" s="315"/>
      <c r="L58" s="315"/>
      <c r="M58" s="315"/>
      <c r="N58" s="315"/>
      <c r="O58" s="315"/>
      <c r="P58" s="315"/>
      <c r="Q58" s="315"/>
      <c r="R58" s="315"/>
      <c r="S58" s="315"/>
      <c r="T58" s="315"/>
      <c r="U58" s="315"/>
      <c r="V58" s="315"/>
      <c r="W58" s="315"/>
      <c r="X58" s="315"/>
      <c r="Y58" s="315"/>
      <c r="Z58" s="315"/>
      <c r="AA58" s="315"/>
      <c r="AB58" s="315"/>
      <c r="AC58" s="315"/>
      <c r="AD58" s="315"/>
      <c r="AE58" s="315"/>
      <c r="AF58" s="315"/>
      <c r="AG58" s="315"/>
      <c r="AH58" s="315"/>
      <c r="AI58" s="315"/>
      <c r="AJ58" s="315"/>
      <c r="AK58" s="315"/>
      <c r="AL58" s="315"/>
      <c r="AM58" s="315"/>
      <c r="AN58" s="315"/>
      <c r="AO58" s="315"/>
      <c r="AP58" s="315"/>
      <c r="AQ58" s="315"/>
      <c r="AR58" s="315"/>
      <c r="AS58" s="315"/>
      <c r="AT58" s="315"/>
      <c r="AU58" s="315"/>
      <c r="AV58" s="315"/>
      <c r="AW58" s="315"/>
      <c r="AX58" s="315"/>
      <c r="AY58" s="315"/>
      <c r="AZ58" s="315"/>
      <c r="BA58" s="315"/>
      <c r="BB58" s="315"/>
      <c r="BC58" s="315"/>
      <c r="BD58" s="315"/>
      <c r="BE58" s="315"/>
      <c r="BF58" s="315"/>
      <c r="BG58" s="315"/>
      <c r="BH58" s="315"/>
      <c r="BI58" s="315"/>
      <c r="BJ58" s="315"/>
      <c r="BK58" s="315"/>
      <c r="BL58" s="315"/>
      <c r="BM58" s="315"/>
      <c r="BN58" s="315"/>
      <c r="BO58" s="315"/>
      <c r="BP58" s="315"/>
      <c r="BQ58" s="315"/>
      <c r="BR58" s="315"/>
      <c r="BS58" s="315"/>
      <c r="BT58" s="315"/>
      <c r="BU58" s="315"/>
      <c r="BV58" s="315"/>
      <c r="BW58" s="315"/>
      <c r="BX58" s="315"/>
      <c r="BY58" s="315"/>
      <c r="BZ58" s="315"/>
      <c r="CA58" s="315"/>
      <c r="CB58" s="315"/>
      <c r="CC58" s="315"/>
      <c r="CD58" s="315"/>
      <c r="CE58" s="315"/>
      <c r="CF58" s="315"/>
      <c r="CG58" s="315"/>
      <c r="CH58" s="315"/>
      <c r="CI58" s="315"/>
      <c r="CJ58" s="315"/>
      <c r="CK58" s="315"/>
      <c r="CL58" s="315"/>
      <c r="CM58" s="315"/>
      <c r="CN58" s="315"/>
      <c r="CO58" s="315"/>
      <c r="CP58" s="315"/>
      <c r="CQ58" s="315"/>
      <c r="CR58" s="315"/>
      <c r="CS58" s="315"/>
      <c r="CT58" s="315"/>
      <c r="CU58" s="315"/>
      <c r="CV58" s="315"/>
      <c r="CW58" s="315"/>
      <c r="CX58" s="315"/>
      <c r="CY58" s="315"/>
      <c r="CZ58" s="315"/>
      <c r="DA58" s="315"/>
      <c r="DB58" s="315"/>
      <c r="DC58" s="315"/>
      <c r="DD58" s="315"/>
      <c r="DE58" s="315"/>
      <c r="DF58" s="315"/>
      <c r="DG58" s="315"/>
      <c r="DH58" s="315"/>
      <c r="DI58" s="315"/>
      <c r="DJ58" s="315"/>
      <c r="DK58" s="315"/>
      <c r="DL58" s="315"/>
      <c r="DM58" s="315"/>
      <c r="DN58" s="315"/>
      <c r="DO58" s="315"/>
      <c r="DP58" s="315"/>
      <c r="DQ58" s="315"/>
      <c r="DR58" s="315"/>
      <c r="DS58" s="315"/>
      <c r="DT58" s="315"/>
      <c r="DU58" s="315"/>
      <c r="DV58" s="315"/>
      <c r="DW58" s="315"/>
      <c r="DX58" s="315"/>
      <c r="DY58" s="315"/>
      <c r="DZ58" s="315"/>
      <c r="EA58" s="315"/>
      <c r="EB58" s="315"/>
      <c r="EC58" s="315"/>
      <c r="ED58" s="315"/>
      <c r="EE58" s="315"/>
      <c r="EF58" s="315"/>
      <c r="EG58" s="315"/>
      <c r="EH58" s="315"/>
      <c r="EI58" s="315"/>
      <c r="EJ58" s="315"/>
      <c r="EK58" s="315"/>
      <c r="EL58" s="315"/>
      <c r="EM58" s="315"/>
      <c r="EN58" s="315"/>
      <c r="EO58" s="315"/>
      <c r="EP58" s="315"/>
      <c r="EQ58" s="315"/>
      <c r="ER58" s="315"/>
      <c r="ES58" s="315"/>
      <c r="ET58" s="315"/>
      <c r="EU58" s="315"/>
      <c r="EV58" s="315"/>
      <c r="EW58" s="315"/>
      <c r="EX58" s="315"/>
      <c r="EY58" s="315"/>
      <c r="EZ58" s="315"/>
      <c r="FA58" s="315"/>
      <c r="FB58" s="315"/>
      <c r="FC58" s="315"/>
      <c r="FD58" s="315"/>
      <c r="FE58" s="315"/>
      <c r="FF58" s="315"/>
      <c r="FG58" s="315"/>
      <c r="FH58" s="315"/>
      <c r="FI58" s="315"/>
      <c r="FJ58" s="315"/>
      <c r="FK58" s="315"/>
      <c r="FL58" s="315"/>
      <c r="FM58" s="315"/>
      <c r="FN58" s="315"/>
      <c r="FO58" s="315"/>
      <c r="FP58" s="315"/>
      <c r="FQ58" s="315"/>
      <c r="FR58" s="315"/>
      <c r="FS58" s="315"/>
      <c r="FT58" s="315"/>
      <c r="FU58" s="315"/>
      <c r="FV58" s="315"/>
      <c r="FW58" s="315"/>
      <c r="FX58" s="315"/>
      <c r="FY58" s="315"/>
      <c r="FZ58" s="315"/>
      <c r="GA58" s="315"/>
      <c r="GB58" s="315"/>
      <c r="GC58" s="315"/>
      <c r="GD58" s="315"/>
      <c r="GE58" s="315"/>
      <c r="GF58" s="315"/>
      <c r="GG58" s="315"/>
      <c r="GH58" s="315"/>
      <c r="GI58" s="315"/>
      <c r="GJ58" s="315"/>
      <c r="GK58" s="315"/>
      <c r="GL58" s="315"/>
      <c r="GM58" s="315"/>
      <c r="GN58" s="315"/>
      <c r="GO58" s="315"/>
      <c r="GP58" s="315"/>
      <c r="GQ58" s="315"/>
      <c r="GR58" s="315"/>
      <c r="GS58" s="315"/>
      <c r="GT58" s="315"/>
      <c r="GU58" s="315"/>
      <c r="GV58" s="315"/>
      <c r="GW58" s="315"/>
      <c r="GX58" s="315"/>
      <c r="GY58" s="315"/>
      <c r="GZ58" s="315"/>
      <c r="HA58" s="315"/>
      <c r="HB58" s="315"/>
      <c r="HC58" s="315"/>
      <c r="HD58" s="315"/>
      <c r="HE58" s="315"/>
      <c r="HF58" s="315"/>
      <c r="HG58" s="315"/>
      <c r="HH58" s="315"/>
      <c r="HI58" s="315"/>
      <c r="HJ58" s="315"/>
      <c r="HK58" s="315"/>
      <c r="HL58" s="315"/>
      <c r="HM58" s="315"/>
      <c r="HN58" s="315"/>
      <c r="HO58" s="315"/>
      <c r="HP58" s="315"/>
      <c r="HQ58" s="315"/>
      <c r="HR58" s="315"/>
      <c r="HS58" s="315"/>
      <c r="HT58" s="315"/>
      <c r="HU58" s="315"/>
      <c r="HV58" s="315"/>
      <c r="HW58" s="315"/>
      <c r="HX58" s="315"/>
      <c r="HY58" s="315"/>
      <c r="HZ58" s="315"/>
      <c r="IA58" s="315"/>
      <c r="IB58" s="315"/>
      <c r="IC58" s="315"/>
      <c r="ID58" s="315"/>
      <c r="IE58" s="315"/>
      <c r="IF58" s="315"/>
      <c r="IG58" s="315"/>
      <c r="IH58" s="315"/>
      <c r="II58" s="315"/>
      <c r="IJ58" s="315"/>
      <c r="IK58" s="315"/>
      <c r="IL58" s="315"/>
      <c r="IM58" s="315"/>
      <c r="IN58" s="315"/>
      <c r="IO58" s="315"/>
      <c r="IP58" s="315"/>
      <c r="IQ58" s="315"/>
      <c r="IR58" s="315"/>
    </row>
    <row r="59" spans="1:252" ht="15">
      <c r="A59" s="292"/>
      <c r="B59" s="316" t="str">
        <f>'Cashflow Ann'!E20</f>
        <v xml:space="preserve">Invoice finance principal repayment </v>
      </c>
      <c r="C59" s="292"/>
      <c r="D59" s="321">
        <f ca="1">'Cashflow Ann'!J20</f>
        <v>0</v>
      </c>
      <c r="E59" s="321">
        <f ca="1">'Cashflow Ann'!K20</f>
        <v>0</v>
      </c>
      <c r="F59" s="321">
        <f ca="1">'Cashflow Ann'!L20</f>
        <v>0</v>
      </c>
      <c r="G59" s="321">
        <f ca="1">'Cashflow Ann'!M20</f>
        <v>0</v>
      </c>
      <c r="H59" s="321">
        <f ca="1">'Cashflow Ann'!N20</f>
        <v>0</v>
      </c>
      <c r="I59" s="292"/>
      <c r="J59" s="292"/>
      <c r="K59" s="315"/>
      <c r="L59" s="315"/>
      <c r="M59" s="315"/>
      <c r="N59" s="315"/>
      <c r="O59" s="315"/>
      <c r="P59" s="315"/>
      <c r="Q59" s="315"/>
      <c r="R59" s="315"/>
      <c r="S59" s="315"/>
      <c r="T59" s="315"/>
      <c r="U59" s="315"/>
      <c r="V59" s="315"/>
      <c r="W59" s="315"/>
      <c r="X59" s="315"/>
      <c r="Y59" s="315"/>
      <c r="Z59" s="315"/>
      <c r="AA59" s="315"/>
      <c r="AB59" s="315"/>
      <c r="AC59" s="315"/>
      <c r="AD59" s="315"/>
      <c r="AE59" s="315"/>
      <c r="AF59" s="315"/>
      <c r="AG59" s="315"/>
      <c r="AH59" s="315"/>
      <c r="AI59" s="315"/>
      <c r="AJ59" s="315"/>
      <c r="AK59" s="315"/>
      <c r="AL59" s="315"/>
      <c r="AM59" s="315"/>
      <c r="AN59" s="315"/>
      <c r="AO59" s="315"/>
      <c r="AP59" s="315"/>
      <c r="AQ59" s="315"/>
      <c r="AR59" s="315"/>
      <c r="AS59" s="315"/>
      <c r="AT59" s="315"/>
      <c r="AU59" s="315"/>
      <c r="AV59" s="315"/>
      <c r="AW59" s="315"/>
      <c r="AX59" s="315"/>
      <c r="AY59" s="315"/>
      <c r="AZ59" s="315"/>
      <c r="BA59" s="315"/>
      <c r="BB59" s="315"/>
      <c r="BC59" s="315"/>
      <c r="BD59" s="315"/>
      <c r="BE59" s="315"/>
      <c r="BF59" s="315"/>
      <c r="BG59" s="315"/>
      <c r="BH59" s="315"/>
      <c r="BI59" s="315"/>
      <c r="BJ59" s="315"/>
      <c r="BK59" s="315"/>
      <c r="BL59" s="315"/>
      <c r="BM59" s="315"/>
      <c r="BN59" s="315"/>
      <c r="BO59" s="315"/>
      <c r="BP59" s="315"/>
      <c r="BQ59" s="315"/>
      <c r="BR59" s="315"/>
      <c r="BS59" s="315"/>
      <c r="BT59" s="315"/>
      <c r="BU59" s="315"/>
      <c r="BV59" s="315"/>
      <c r="BW59" s="315"/>
      <c r="BX59" s="315"/>
      <c r="BY59" s="315"/>
      <c r="BZ59" s="315"/>
      <c r="CA59" s="315"/>
      <c r="CB59" s="315"/>
      <c r="CC59" s="315"/>
      <c r="CD59" s="315"/>
      <c r="CE59" s="315"/>
      <c r="CF59" s="315"/>
      <c r="CG59" s="315"/>
      <c r="CH59" s="315"/>
      <c r="CI59" s="315"/>
      <c r="CJ59" s="315"/>
      <c r="CK59" s="315"/>
      <c r="CL59" s="315"/>
      <c r="CM59" s="315"/>
      <c r="CN59" s="315"/>
      <c r="CO59" s="315"/>
      <c r="CP59" s="315"/>
      <c r="CQ59" s="315"/>
      <c r="CR59" s="315"/>
      <c r="CS59" s="315"/>
      <c r="CT59" s="315"/>
      <c r="CU59" s="315"/>
      <c r="CV59" s="315"/>
      <c r="CW59" s="315"/>
      <c r="CX59" s="315"/>
      <c r="CY59" s="315"/>
      <c r="CZ59" s="315"/>
      <c r="DA59" s="315"/>
      <c r="DB59" s="315"/>
      <c r="DC59" s="315"/>
      <c r="DD59" s="315"/>
      <c r="DE59" s="315"/>
      <c r="DF59" s="315"/>
      <c r="DG59" s="315"/>
      <c r="DH59" s="315"/>
      <c r="DI59" s="315"/>
      <c r="DJ59" s="315"/>
      <c r="DK59" s="315"/>
      <c r="DL59" s="315"/>
      <c r="DM59" s="315"/>
      <c r="DN59" s="315"/>
      <c r="DO59" s="315"/>
      <c r="DP59" s="315"/>
      <c r="DQ59" s="315"/>
      <c r="DR59" s="315"/>
      <c r="DS59" s="315"/>
      <c r="DT59" s="315"/>
      <c r="DU59" s="315"/>
      <c r="DV59" s="315"/>
      <c r="DW59" s="315"/>
      <c r="DX59" s="315"/>
      <c r="DY59" s="315"/>
      <c r="DZ59" s="315"/>
      <c r="EA59" s="315"/>
      <c r="EB59" s="315"/>
      <c r="EC59" s="315"/>
      <c r="ED59" s="315"/>
      <c r="EE59" s="315"/>
      <c r="EF59" s="315"/>
      <c r="EG59" s="315"/>
      <c r="EH59" s="315"/>
      <c r="EI59" s="315"/>
      <c r="EJ59" s="315"/>
      <c r="EK59" s="315"/>
      <c r="EL59" s="315"/>
      <c r="EM59" s="315"/>
      <c r="EN59" s="315"/>
      <c r="EO59" s="315"/>
      <c r="EP59" s="315"/>
      <c r="EQ59" s="315"/>
      <c r="ER59" s="315"/>
      <c r="ES59" s="315"/>
      <c r="ET59" s="315"/>
      <c r="EU59" s="315"/>
      <c r="EV59" s="315"/>
      <c r="EW59" s="315"/>
      <c r="EX59" s="315"/>
      <c r="EY59" s="315"/>
      <c r="EZ59" s="315"/>
      <c r="FA59" s="315"/>
      <c r="FB59" s="315"/>
      <c r="FC59" s="315"/>
      <c r="FD59" s="315"/>
      <c r="FE59" s="315"/>
      <c r="FF59" s="315"/>
      <c r="FG59" s="315"/>
      <c r="FH59" s="315"/>
      <c r="FI59" s="315"/>
      <c r="FJ59" s="315"/>
      <c r="FK59" s="315"/>
      <c r="FL59" s="315"/>
      <c r="FM59" s="315"/>
      <c r="FN59" s="315"/>
      <c r="FO59" s="315"/>
      <c r="FP59" s="315"/>
      <c r="FQ59" s="315"/>
      <c r="FR59" s="315"/>
      <c r="FS59" s="315"/>
      <c r="FT59" s="315"/>
      <c r="FU59" s="315"/>
      <c r="FV59" s="315"/>
      <c r="FW59" s="315"/>
      <c r="FX59" s="315"/>
      <c r="FY59" s="315"/>
      <c r="FZ59" s="315"/>
      <c r="GA59" s="315"/>
      <c r="GB59" s="315"/>
      <c r="GC59" s="315"/>
      <c r="GD59" s="315"/>
      <c r="GE59" s="315"/>
      <c r="GF59" s="315"/>
      <c r="GG59" s="315"/>
      <c r="GH59" s="315"/>
      <c r="GI59" s="315"/>
      <c r="GJ59" s="315"/>
      <c r="GK59" s="315"/>
      <c r="GL59" s="315"/>
      <c r="GM59" s="315"/>
      <c r="GN59" s="315"/>
      <c r="GO59" s="315"/>
      <c r="GP59" s="315"/>
      <c r="GQ59" s="315"/>
      <c r="GR59" s="315"/>
      <c r="GS59" s="315"/>
      <c r="GT59" s="315"/>
      <c r="GU59" s="315"/>
      <c r="GV59" s="315"/>
      <c r="GW59" s="315"/>
      <c r="GX59" s="315"/>
      <c r="GY59" s="315"/>
      <c r="GZ59" s="315"/>
      <c r="HA59" s="315"/>
      <c r="HB59" s="315"/>
      <c r="HC59" s="315"/>
      <c r="HD59" s="315"/>
      <c r="HE59" s="315"/>
      <c r="HF59" s="315"/>
      <c r="HG59" s="315"/>
      <c r="HH59" s="315"/>
      <c r="HI59" s="315"/>
      <c r="HJ59" s="315"/>
      <c r="HK59" s="315"/>
      <c r="HL59" s="315"/>
      <c r="HM59" s="315"/>
      <c r="HN59" s="315"/>
      <c r="HO59" s="315"/>
      <c r="HP59" s="315"/>
      <c r="HQ59" s="315"/>
      <c r="HR59" s="315"/>
      <c r="HS59" s="315"/>
      <c r="HT59" s="315"/>
      <c r="HU59" s="315"/>
      <c r="HV59" s="315"/>
      <c r="HW59" s="315"/>
      <c r="HX59" s="315"/>
      <c r="HY59" s="315"/>
      <c r="HZ59" s="315"/>
      <c r="IA59" s="315"/>
      <c r="IB59" s="315"/>
      <c r="IC59" s="315"/>
      <c r="ID59" s="315"/>
      <c r="IE59" s="315"/>
      <c r="IF59" s="315"/>
      <c r="IG59" s="315"/>
      <c r="IH59" s="315"/>
      <c r="II59" s="315"/>
      <c r="IJ59" s="315"/>
      <c r="IK59" s="315"/>
      <c r="IL59" s="315"/>
      <c r="IM59" s="315"/>
      <c r="IN59" s="315"/>
      <c r="IO59" s="315"/>
      <c r="IP59" s="315"/>
      <c r="IQ59" s="315"/>
      <c r="IR59" s="315"/>
    </row>
    <row r="60" spans="1:252" s="326" customFormat="1" ht="14.5">
      <c r="A60" s="316"/>
      <c r="B60" s="316" t="str">
        <f>'Cashflow Ann'!E21</f>
        <v>Asset Finance drawdown</v>
      </c>
      <c r="C60" s="292"/>
      <c r="D60" s="321">
        <f ca="1">'Cashflow Ann'!J21</f>
        <v>0</v>
      </c>
      <c r="E60" s="321">
        <f ca="1">'Cashflow Ann'!K21</f>
        <v>0</v>
      </c>
      <c r="F60" s="321">
        <f ca="1">'Cashflow Ann'!L21</f>
        <v>0</v>
      </c>
      <c r="G60" s="321">
        <f ca="1">'Cashflow Ann'!M21</f>
        <v>0</v>
      </c>
      <c r="H60" s="321">
        <f ca="1">'Cashflow Ann'!N21</f>
        <v>0</v>
      </c>
      <c r="I60" s="316"/>
      <c r="J60" s="316"/>
      <c r="K60" s="325"/>
      <c r="L60" s="325"/>
      <c r="M60" s="325"/>
      <c r="N60" s="325"/>
      <c r="O60" s="325"/>
      <c r="P60" s="325"/>
      <c r="Q60" s="325"/>
      <c r="R60" s="325"/>
      <c r="S60" s="325"/>
      <c r="T60" s="325"/>
      <c r="U60" s="325"/>
      <c r="V60" s="325"/>
      <c r="W60" s="325"/>
      <c r="X60" s="325"/>
      <c r="Y60" s="325"/>
      <c r="Z60" s="325"/>
      <c r="AA60" s="325"/>
      <c r="AB60" s="325"/>
      <c r="AC60" s="325"/>
      <c r="AD60" s="325"/>
      <c r="AE60" s="325"/>
      <c r="AF60" s="325"/>
      <c r="AG60" s="325"/>
      <c r="AH60" s="325"/>
      <c r="AI60" s="325"/>
      <c r="AJ60" s="325"/>
      <c r="AK60" s="325"/>
      <c r="AL60" s="325"/>
      <c r="AM60" s="325"/>
      <c r="AN60" s="325"/>
      <c r="AO60" s="325"/>
      <c r="AP60" s="325"/>
      <c r="AQ60" s="325"/>
      <c r="AR60" s="325"/>
      <c r="AS60" s="325"/>
      <c r="AT60" s="325"/>
      <c r="AU60" s="325"/>
      <c r="AV60" s="325"/>
      <c r="AW60" s="325"/>
      <c r="AX60" s="325"/>
      <c r="AY60" s="325"/>
      <c r="AZ60" s="325"/>
      <c r="BA60" s="325"/>
      <c r="BB60" s="325"/>
      <c r="BC60" s="325"/>
      <c r="BD60" s="325"/>
      <c r="BE60" s="325"/>
      <c r="BF60" s="325"/>
      <c r="BG60" s="325"/>
      <c r="BH60" s="325"/>
      <c r="BI60" s="325"/>
      <c r="BJ60" s="325"/>
      <c r="BK60" s="325"/>
      <c r="BL60" s="325"/>
      <c r="BM60" s="325"/>
      <c r="BN60" s="325"/>
      <c r="BO60" s="325"/>
      <c r="BP60" s="325"/>
      <c r="BQ60" s="325"/>
      <c r="BR60" s="325"/>
      <c r="BS60" s="325"/>
      <c r="BT60" s="325"/>
      <c r="BU60" s="325"/>
      <c r="BV60" s="325"/>
      <c r="BW60" s="325"/>
      <c r="BX60" s="325"/>
      <c r="BY60" s="325"/>
      <c r="BZ60" s="325"/>
      <c r="CA60" s="325"/>
      <c r="CB60" s="325"/>
      <c r="CC60" s="325"/>
      <c r="CD60" s="325"/>
      <c r="CE60" s="325"/>
      <c r="CF60" s="325"/>
      <c r="CG60" s="325"/>
      <c r="CH60" s="325"/>
      <c r="CI60" s="325"/>
      <c r="CJ60" s="325"/>
      <c r="CK60" s="325"/>
      <c r="CL60" s="325"/>
      <c r="CM60" s="325"/>
      <c r="CN60" s="325"/>
      <c r="CO60" s="325"/>
      <c r="CP60" s="325"/>
      <c r="CQ60" s="325"/>
      <c r="CR60" s="325"/>
      <c r="CS60" s="325"/>
      <c r="CT60" s="325"/>
      <c r="CU60" s="325"/>
      <c r="CV60" s="325"/>
      <c r="CW60" s="325"/>
      <c r="CX60" s="325"/>
      <c r="CY60" s="325"/>
      <c r="CZ60" s="325"/>
      <c r="DA60" s="325"/>
      <c r="DB60" s="325"/>
      <c r="DC60" s="325"/>
      <c r="DD60" s="325"/>
      <c r="DE60" s="325"/>
      <c r="DF60" s="325"/>
      <c r="DG60" s="325"/>
      <c r="DH60" s="325"/>
      <c r="DI60" s="325"/>
      <c r="DJ60" s="325"/>
      <c r="DK60" s="325"/>
      <c r="DL60" s="325"/>
      <c r="DM60" s="325"/>
      <c r="DN60" s="325"/>
      <c r="DO60" s="325"/>
      <c r="DP60" s="325"/>
      <c r="DQ60" s="325"/>
      <c r="DR60" s="325"/>
      <c r="DS60" s="325"/>
      <c r="DT60" s="325"/>
      <c r="DU60" s="325"/>
      <c r="DV60" s="325"/>
      <c r="DW60" s="325"/>
      <c r="DX60" s="325"/>
      <c r="DY60" s="325"/>
      <c r="DZ60" s="325"/>
      <c r="EA60" s="325"/>
      <c r="EB60" s="325"/>
      <c r="EC60" s="325"/>
      <c r="ED60" s="325"/>
      <c r="EE60" s="325"/>
      <c r="EF60" s="325"/>
      <c r="EG60" s="325"/>
      <c r="EH60" s="325"/>
      <c r="EI60" s="325"/>
      <c r="EJ60" s="325"/>
      <c r="EK60" s="325"/>
      <c r="EL60" s="325"/>
      <c r="EM60" s="325"/>
      <c r="EN60" s="325"/>
      <c r="EO60" s="325"/>
      <c r="EP60" s="325"/>
      <c r="EQ60" s="325"/>
      <c r="ER60" s="325"/>
      <c r="ES60" s="325"/>
      <c r="ET60" s="325"/>
      <c r="EU60" s="325"/>
      <c r="EV60" s="325"/>
      <c r="EW60" s="325"/>
      <c r="EX60" s="325"/>
      <c r="EY60" s="325"/>
      <c r="EZ60" s="325"/>
      <c r="FA60" s="325"/>
      <c r="FB60" s="325"/>
      <c r="FC60" s="325"/>
      <c r="FD60" s="325"/>
      <c r="FE60" s="325"/>
      <c r="FF60" s="325"/>
      <c r="FG60" s="325"/>
      <c r="FH60" s="325"/>
      <c r="FI60" s="325"/>
      <c r="FJ60" s="325"/>
      <c r="FK60" s="325"/>
      <c r="FL60" s="325"/>
      <c r="FM60" s="325"/>
      <c r="FN60" s="325"/>
      <c r="FO60" s="325"/>
      <c r="FP60" s="325"/>
      <c r="FQ60" s="325"/>
      <c r="FR60" s="325"/>
      <c r="FS60" s="325"/>
      <c r="FT60" s="325"/>
      <c r="FU60" s="325"/>
      <c r="FV60" s="325"/>
      <c r="FW60" s="325"/>
      <c r="FX60" s="325"/>
      <c r="FY60" s="325"/>
      <c r="FZ60" s="325"/>
      <c r="GA60" s="325"/>
      <c r="GB60" s="325"/>
      <c r="GC60" s="325"/>
      <c r="GD60" s="325"/>
      <c r="GE60" s="325"/>
      <c r="GF60" s="325"/>
      <c r="GG60" s="325"/>
      <c r="GH60" s="325"/>
      <c r="GI60" s="325"/>
      <c r="GJ60" s="325"/>
      <c r="GK60" s="325"/>
      <c r="GL60" s="325"/>
      <c r="GM60" s="325"/>
      <c r="GN60" s="325"/>
      <c r="GO60" s="325"/>
      <c r="GP60" s="325"/>
      <c r="GQ60" s="325"/>
      <c r="GR60" s="325"/>
      <c r="GS60" s="325"/>
      <c r="GT60" s="325"/>
      <c r="GU60" s="325"/>
      <c r="GV60" s="325"/>
      <c r="GW60" s="325"/>
      <c r="GX60" s="325"/>
      <c r="GY60" s="325"/>
      <c r="GZ60" s="325"/>
      <c r="HA60" s="325"/>
      <c r="HB60" s="325"/>
      <c r="HC60" s="325"/>
      <c r="HD60" s="325"/>
      <c r="HE60" s="325"/>
      <c r="HF60" s="325"/>
      <c r="HG60" s="325"/>
      <c r="HH60" s="325"/>
      <c r="HI60" s="325"/>
      <c r="HJ60" s="325"/>
      <c r="HK60" s="325"/>
      <c r="HL60" s="325"/>
      <c r="HM60" s="325"/>
      <c r="HN60" s="325"/>
      <c r="HO60" s="325"/>
      <c r="HP60" s="325"/>
      <c r="HQ60" s="325"/>
      <c r="HR60" s="325"/>
      <c r="HS60" s="325"/>
      <c r="HT60" s="325"/>
      <c r="HU60" s="325"/>
      <c r="HV60" s="325"/>
      <c r="HW60" s="325"/>
      <c r="HX60" s="325"/>
      <c r="HY60" s="325"/>
      <c r="HZ60" s="325"/>
      <c r="IA60" s="325"/>
      <c r="IB60" s="325"/>
      <c r="IC60" s="325"/>
      <c r="ID60" s="325"/>
      <c r="IE60" s="325"/>
      <c r="IF60" s="325"/>
      <c r="IG60" s="325"/>
      <c r="IH60" s="325"/>
      <c r="II60" s="325"/>
      <c r="IJ60" s="325"/>
      <c r="IK60" s="325"/>
      <c r="IL60" s="325"/>
      <c r="IM60" s="325"/>
      <c r="IN60" s="325"/>
      <c r="IO60" s="325"/>
      <c r="IP60" s="325"/>
      <c r="IQ60" s="325"/>
      <c r="IR60" s="325"/>
    </row>
    <row r="61" spans="1:252" ht="15">
      <c r="A61" s="292"/>
      <c r="B61" s="316" t="str">
        <f>'Cashflow Ann'!E22</f>
        <v xml:space="preserve">Asset Finance principal repayment </v>
      </c>
      <c r="C61" s="292"/>
      <c r="D61" s="321">
        <f ca="1">'Cashflow Ann'!J22</f>
        <v>0</v>
      </c>
      <c r="E61" s="321">
        <f ca="1">'Cashflow Ann'!K22</f>
        <v>0</v>
      </c>
      <c r="F61" s="321">
        <f ca="1">'Cashflow Ann'!L22</f>
        <v>0</v>
      </c>
      <c r="G61" s="321">
        <f ca="1">'Cashflow Ann'!M22</f>
        <v>0</v>
      </c>
      <c r="H61" s="321">
        <f ca="1">'Cashflow Ann'!N22</f>
        <v>0</v>
      </c>
      <c r="I61" s="292"/>
      <c r="J61" s="292"/>
      <c r="K61" s="315"/>
      <c r="L61" s="315"/>
      <c r="M61" s="315"/>
      <c r="N61" s="315"/>
      <c r="O61" s="315"/>
      <c r="P61" s="315"/>
      <c r="Q61" s="315"/>
      <c r="R61" s="315"/>
      <c r="S61" s="315"/>
      <c r="T61" s="315"/>
      <c r="U61" s="315"/>
      <c r="V61" s="315"/>
      <c r="W61" s="315"/>
      <c r="X61" s="315"/>
      <c r="Y61" s="315"/>
      <c r="Z61" s="315"/>
      <c r="AA61" s="315"/>
      <c r="AB61" s="315"/>
      <c r="AC61" s="315"/>
      <c r="AD61" s="315"/>
      <c r="AE61" s="315"/>
      <c r="AF61" s="315"/>
      <c r="AG61" s="315"/>
      <c r="AH61" s="315"/>
      <c r="AI61" s="315"/>
      <c r="AJ61" s="315"/>
      <c r="AK61" s="315"/>
      <c r="AL61" s="315"/>
      <c r="AM61" s="315"/>
      <c r="AN61" s="315"/>
      <c r="AO61" s="315"/>
      <c r="AP61" s="315"/>
      <c r="AQ61" s="315"/>
      <c r="AR61" s="315"/>
      <c r="AS61" s="315"/>
      <c r="AT61" s="315"/>
      <c r="AU61" s="315"/>
      <c r="AV61" s="315"/>
      <c r="AW61" s="315"/>
      <c r="AX61" s="315"/>
      <c r="AY61" s="315"/>
      <c r="AZ61" s="315"/>
      <c r="BA61" s="315"/>
      <c r="BB61" s="315"/>
      <c r="BC61" s="315"/>
      <c r="BD61" s="315"/>
      <c r="BE61" s="315"/>
      <c r="BF61" s="315"/>
      <c r="BG61" s="315"/>
      <c r="BH61" s="315"/>
      <c r="BI61" s="315"/>
      <c r="BJ61" s="315"/>
      <c r="BK61" s="315"/>
      <c r="BL61" s="315"/>
      <c r="BM61" s="315"/>
      <c r="BN61" s="315"/>
      <c r="BO61" s="315"/>
      <c r="BP61" s="315"/>
      <c r="BQ61" s="315"/>
      <c r="BR61" s="315"/>
      <c r="BS61" s="315"/>
      <c r="BT61" s="315"/>
      <c r="BU61" s="315"/>
      <c r="BV61" s="315"/>
      <c r="BW61" s="315"/>
      <c r="BX61" s="315"/>
      <c r="BY61" s="315"/>
      <c r="BZ61" s="315"/>
      <c r="CA61" s="315"/>
      <c r="CB61" s="315"/>
      <c r="CC61" s="315"/>
      <c r="CD61" s="315"/>
      <c r="CE61" s="315"/>
      <c r="CF61" s="315"/>
      <c r="CG61" s="315"/>
      <c r="CH61" s="315"/>
      <c r="CI61" s="315"/>
      <c r="CJ61" s="315"/>
      <c r="CK61" s="315"/>
      <c r="CL61" s="315"/>
      <c r="CM61" s="315"/>
      <c r="CN61" s="315"/>
      <c r="CO61" s="315"/>
      <c r="CP61" s="315"/>
      <c r="CQ61" s="315"/>
      <c r="CR61" s="315"/>
      <c r="CS61" s="315"/>
      <c r="CT61" s="315"/>
      <c r="CU61" s="315"/>
      <c r="CV61" s="315"/>
      <c r="CW61" s="315"/>
      <c r="CX61" s="315"/>
      <c r="CY61" s="315"/>
      <c r="CZ61" s="315"/>
      <c r="DA61" s="315"/>
      <c r="DB61" s="315"/>
      <c r="DC61" s="315"/>
      <c r="DD61" s="315"/>
      <c r="DE61" s="315"/>
      <c r="DF61" s="315"/>
      <c r="DG61" s="315"/>
      <c r="DH61" s="315"/>
      <c r="DI61" s="315"/>
      <c r="DJ61" s="315"/>
      <c r="DK61" s="315"/>
      <c r="DL61" s="315"/>
      <c r="DM61" s="315"/>
      <c r="DN61" s="315"/>
      <c r="DO61" s="315"/>
      <c r="DP61" s="315"/>
      <c r="DQ61" s="315"/>
      <c r="DR61" s="315"/>
      <c r="DS61" s="315"/>
      <c r="DT61" s="315"/>
      <c r="DU61" s="315"/>
      <c r="DV61" s="315"/>
      <c r="DW61" s="315"/>
      <c r="DX61" s="315"/>
      <c r="DY61" s="315"/>
      <c r="DZ61" s="315"/>
      <c r="EA61" s="315"/>
      <c r="EB61" s="315"/>
      <c r="EC61" s="315"/>
      <c r="ED61" s="315"/>
      <c r="EE61" s="315"/>
      <c r="EF61" s="315"/>
      <c r="EG61" s="315"/>
      <c r="EH61" s="315"/>
      <c r="EI61" s="315"/>
      <c r="EJ61" s="315"/>
      <c r="EK61" s="315"/>
      <c r="EL61" s="315"/>
      <c r="EM61" s="315"/>
      <c r="EN61" s="315"/>
      <c r="EO61" s="315"/>
      <c r="EP61" s="315"/>
      <c r="EQ61" s="315"/>
      <c r="ER61" s="315"/>
      <c r="ES61" s="315"/>
      <c r="ET61" s="315"/>
      <c r="EU61" s="315"/>
      <c r="EV61" s="315"/>
      <c r="EW61" s="315"/>
      <c r="EX61" s="315"/>
      <c r="EY61" s="315"/>
      <c r="EZ61" s="315"/>
      <c r="FA61" s="315"/>
      <c r="FB61" s="315"/>
      <c r="FC61" s="315"/>
      <c r="FD61" s="315"/>
      <c r="FE61" s="315"/>
      <c r="FF61" s="315"/>
      <c r="FG61" s="315"/>
      <c r="FH61" s="315"/>
      <c r="FI61" s="315"/>
      <c r="FJ61" s="315"/>
      <c r="FK61" s="315"/>
      <c r="FL61" s="315"/>
      <c r="FM61" s="315"/>
      <c r="FN61" s="315"/>
      <c r="FO61" s="315"/>
      <c r="FP61" s="315"/>
      <c r="FQ61" s="315"/>
      <c r="FR61" s="315"/>
      <c r="FS61" s="315"/>
      <c r="FT61" s="315"/>
      <c r="FU61" s="315"/>
      <c r="FV61" s="315"/>
      <c r="FW61" s="315"/>
      <c r="FX61" s="315"/>
      <c r="FY61" s="315"/>
      <c r="FZ61" s="315"/>
      <c r="GA61" s="315"/>
      <c r="GB61" s="315"/>
      <c r="GC61" s="315"/>
      <c r="GD61" s="315"/>
      <c r="GE61" s="315"/>
      <c r="GF61" s="315"/>
      <c r="GG61" s="315"/>
      <c r="GH61" s="315"/>
      <c r="GI61" s="315"/>
      <c r="GJ61" s="315"/>
      <c r="GK61" s="315"/>
      <c r="GL61" s="315"/>
      <c r="GM61" s="315"/>
      <c r="GN61" s="315"/>
      <c r="GO61" s="315"/>
      <c r="GP61" s="315"/>
      <c r="GQ61" s="315"/>
      <c r="GR61" s="315"/>
      <c r="GS61" s="315"/>
      <c r="GT61" s="315"/>
      <c r="GU61" s="315"/>
      <c r="GV61" s="315"/>
      <c r="GW61" s="315"/>
      <c r="GX61" s="315"/>
      <c r="GY61" s="315"/>
      <c r="GZ61" s="315"/>
      <c r="HA61" s="315"/>
      <c r="HB61" s="315"/>
      <c r="HC61" s="315"/>
      <c r="HD61" s="315"/>
      <c r="HE61" s="315"/>
      <c r="HF61" s="315"/>
      <c r="HG61" s="315"/>
      <c r="HH61" s="315"/>
      <c r="HI61" s="315"/>
      <c r="HJ61" s="315"/>
      <c r="HK61" s="315"/>
      <c r="HL61" s="315"/>
      <c r="HM61" s="315"/>
      <c r="HN61" s="315"/>
      <c r="HO61" s="315"/>
      <c r="HP61" s="315"/>
      <c r="HQ61" s="315"/>
      <c r="HR61" s="315"/>
      <c r="HS61" s="315"/>
      <c r="HT61" s="315"/>
      <c r="HU61" s="315"/>
      <c r="HV61" s="315"/>
      <c r="HW61" s="315"/>
      <c r="HX61" s="315"/>
      <c r="HY61" s="315"/>
      <c r="HZ61" s="315"/>
      <c r="IA61" s="315"/>
      <c r="IB61" s="315"/>
      <c r="IC61" s="315"/>
      <c r="ID61" s="315"/>
      <c r="IE61" s="315"/>
      <c r="IF61" s="315"/>
      <c r="IG61" s="315"/>
      <c r="IH61" s="315"/>
      <c r="II61" s="315"/>
      <c r="IJ61" s="315"/>
      <c r="IK61" s="315"/>
      <c r="IL61" s="315"/>
      <c r="IM61" s="315"/>
      <c r="IN61" s="315"/>
      <c r="IO61" s="315"/>
      <c r="IP61" s="315"/>
      <c r="IQ61" s="315"/>
      <c r="IR61" s="315"/>
    </row>
    <row r="62" spans="1:252" ht="15">
      <c r="A62" s="292"/>
      <c r="B62" s="316" t="str">
        <f>'Cashflow Ann'!E23</f>
        <v xml:space="preserve">Supply Chain Finance interest paid </v>
      </c>
      <c r="C62" s="292"/>
      <c r="D62" s="321">
        <f ca="1">'Cashflow Ann'!J23</f>
        <v>0</v>
      </c>
      <c r="E62" s="321">
        <f ca="1">'Cashflow Ann'!K23</f>
        <v>0</v>
      </c>
      <c r="F62" s="321">
        <f ca="1">'Cashflow Ann'!L23</f>
        <v>0</v>
      </c>
      <c r="G62" s="321">
        <f ca="1">'Cashflow Ann'!M23</f>
        <v>0</v>
      </c>
      <c r="H62" s="321">
        <f ca="1">'Cashflow Ann'!N23</f>
        <v>0</v>
      </c>
      <c r="I62" s="292"/>
      <c r="J62" s="292"/>
      <c r="K62" s="315"/>
      <c r="L62" s="315"/>
      <c r="M62" s="315"/>
      <c r="N62" s="315"/>
      <c r="O62" s="315"/>
      <c r="P62" s="315"/>
      <c r="Q62" s="315"/>
      <c r="R62" s="315"/>
      <c r="S62" s="315"/>
      <c r="T62" s="315"/>
      <c r="U62" s="315"/>
      <c r="V62" s="315"/>
      <c r="W62" s="315"/>
      <c r="X62" s="315"/>
      <c r="Y62" s="315"/>
      <c r="Z62" s="315"/>
      <c r="AA62" s="315"/>
      <c r="AB62" s="315"/>
      <c r="AC62" s="315"/>
      <c r="AD62" s="315"/>
      <c r="AE62" s="315"/>
      <c r="AF62" s="315"/>
      <c r="AG62" s="315"/>
      <c r="AH62" s="315"/>
      <c r="AI62" s="315"/>
      <c r="AJ62" s="315"/>
      <c r="AK62" s="315"/>
      <c r="AL62" s="315"/>
      <c r="AM62" s="315"/>
      <c r="AN62" s="315"/>
      <c r="AO62" s="315"/>
      <c r="AP62" s="315"/>
      <c r="AQ62" s="315"/>
      <c r="AR62" s="315"/>
      <c r="AS62" s="315"/>
      <c r="AT62" s="315"/>
      <c r="AU62" s="315"/>
      <c r="AV62" s="315"/>
      <c r="AW62" s="315"/>
      <c r="AX62" s="315"/>
      <c r="AY62" s="315"/>
      <c r="AZ62" s="315"/>
      <c r="BA62" s="315"/>
      <c r="BB62" s="315"/>
      <c r="BC62" s="315"/>
      <c r="BD62" s="315"/>
      <c r="BE62" s="315"/>
      <c r="BF62" s="315"/>
      <c r="BG62" s="315"/>
      <c r="BH62" s="315"/>
      <c r="BI62" s="315"/>
      <c r="BJ62" s="315"/>
      <c r="BK62" s="315"/>
      <c r="BL62" s="315"/>
      <c r="BM62" s="315"/>
      <c r="BN62" s="315"/>
      <c r="BO62" s="315"/>
      <c r="BP62" s="315"/>
      <c r="BQ62" s="315"/>
      <c r="BR62" s="315"/>
      <c r="BS62" s="315"/>
      <c r="BT62" s="315"/>
      <c r="BU62" s="315"/>
      <c r="BV62" s="315"/>
      <c r="BW62" s="315"/>
      <c r="BX62" s="315"/>
      <c r="BY62" s="315"/>
      <c r="BZ62" s="315"/>
      <c r="CA62" s="315"/>
      <c r="CB62" s="315"/>
      <c r="CC62" s="315"/>
      <c r="CD62" s="315"/>
      <c r="CE62" s="315"/>
      <c r="CF62" s="315"/>
      <c r="CG62" s="315"/>
      <c r="CH62" s="315"/>
      <c r="CI62" s="315"/>
      <c r="CJ62" s="315"/>
      <c r="CK62" s="315"/>
      <c r="CL62" s="315"/>
      <c r="CM62" s="315"/>
      <c r="CN62" s="315"/>
      <c r="CO62" s="315"/>
      <c r="CP62" s="315"/>
      <c r="CQ62" s="315"/>
      <c r="CR62" s="315"/>
      <c r="CS62" s="315"/>
      <c r="CT62" s="315"/>
      <c r="CU62" s="315"/>
      <c r="CV62" s="315"/>
      <c r="CW62" s="315"/>
      <c r="CX62" s="315"/>
      <c r="CY62" s="315"/>
      <c r="CZ62" s="315"/>
      <c r="DA62" s="315"/>
      <c r="DB62" s="315"/>
      <c r="DC62" s="315"/>
      <c r="DD62" s="315"/>
      <c r="DE62" s="315"/>
      <c r="DF62" s="315"/>
      <c r="DG62" s="315"/>
      <c r="DH62" s="315"/>
      <c r="DI62" s="315"/>
      <c r="DJ62" s="315"/>
      <c r="DK62" s="315"/>
      <c r="DL62" s="315"/>
      <c r="DM62" s="315"/>
      <c r="DN62" s="315"/>
      <c r="DO62" s="315"/>
      <c r="DP62" s="315"/>
      <c r="DQ62" s="315"/>
      <c r="DR62" s="315"/>
      <c r="DS62" s="315"/>
      <c r="DT62" s="315"/>
      <c r="DU62" s="315"/>
      <c r="DV62" s="315"/>
      <c r="DW62" s="315"/>
      <c r="DX62" s="315"/>
      <c r="DY62" s="315"/>
      <c r="DZ62" s="315"/>
      <c r="EA62" s="315"/>
      <c r="EB62" s="315"/>
      <c r="EC62" s="315"/>
      <c r="ED62" s="315"/>
      <c r="EE62" s="315"/>
      <c r="EF62" s="315"/>
      <c r="EG62" s="315"/>
      <c r="EH62" s="315"/>
      <c r="EI62" s="315"/>
      <c r="EJ62" s="315"/>
      <c r="EK62" s="315"/>
      <c r="EL62" s="315"/>
      <c r="EM62" s="315"/>
      <c r="EN62" s="315"/>
      <c r="EO62" s="315"/>
      <c r="EP62" s="315"/>
      <c r="EQ62" s="315"/>
      <c r="ER62" s="315"/>
      <c r="ES62" s="315"/>
      <c r="ET62" s="315"/>
      <c r="EU62" s="315"/>
      <c r="EV62" s="315"/>
      <c r="EW62" s="315"/>
      <c r="EX62" s="315"/>
      <c r="EY62" s="315"/>
      <c r="EZ62" s="315"/>
      <c r="FA62" s="315"/>
      <c r="FB62" s="315"/>
      <c r="FC62" s="315"/>
      <c r="FD62" s="315"/>
      <c r="FE62" s="315"/>
      <c r="FF62" s="315"/>
      <c r="FG62" s="315"/>
      <c r="FH62" s="315"/>
      <c r="FI62" s="315"/>
      <c r="FJ62" s="315"/>
      <c r="FK62" s="315"/>
      <c r="FL62" s="315"/>
      <c r="FM62" s="315"/>
      <c r="FN62" s="315"/>
      <c r="FO62" s="315"/>
      <c r="FP62" s="315"/>
      <c r="FQ62" s="315"/>
      <c r="FR62" s="315"/>
      <c r="FS62" s="315"/>
      <c r="FT62" s="315"/>
      <c r="FU62" s="315"/>
      <c r="FV62" s="315"/>
      <c r="FW62" s="315"/>
      <c r="FX62" s="315"/>
      <c r="FY62" s="315"/>
      <c r="FZ62" s="315"/>
      <c r="GA62" s="315"/>
      <c r="GB62" s="315"/>
      <c r="GC62" s="315"/>
      <c r="GD62" s="315"/>
      <c r="GE62" s="315"/>
      <c r="GF62" s="315"/>
      <c r="GG62" s="315"/>
      <c r="GH62" s="315"/>
      <c r="GI62" s="315"/>
      <c r="GJ62" s="315"/>
      <c r="GK62" s="315"/>
      <c r="GL62" s="315"/>
      <c r="GM62" s="315"/>
      <c r="GN62" s="315"/>
      <c r="GO62" s="315"/>
      <c r="GP62" s="315"/>
      <c r="GQ62" s="315"/>
      <c r="GR62" s="315"/>
      <c r="GS62" s="315"/>
      <c r="GT62" s="315"/>
      <c r="GU62" s="315"/>
      <c r="GV62" s="315"/>
      <c r="GW62" s="315"/>
      <c r="GX62" s="315"/>
      <c r="GY62" s="315"/>
      <c r="GZ62" s="315"/>
      <c r="HA62" s="315"/>
      <c r="HB62" s="315"/>
      <c r="HC62" s="315"/>
      <c r="HD62" s="315"/>
      <c r="HE62" s="315"/>
      <c r="HF62" s="315"/>
      <c r="HG62" s="315"/>
      <c r="HH62" s="315"/>
      <c r="HI62" s="315"/>
      <c r="HJ62" s="315"/>
      <c r="HK62" s="315"/>
      <c r="HL62" s="315"/>
      <c r="HM62" s="315"/>
      <c r="HN62" s="315"/>
      <c r="HO62" s="315"/>
      <c r="HP62" s="315"/>
      <c r="HQ62" s="315"/>
      <c r="HR62" s="315"/>
      <c r="HS62" s="315"/>
      <c r="HT62" s="315"/>
      <c r="HU62" s="315"/>
      <c r="HV62" s="315"/>
      <c r="HW62" s="315"/>
      <c r="HX62" s="315"/>
      <c r="HY62" s="315"/>
      <c r="HZ62" s="315"/>
      <c r="IA62" s="315"/>
      <c r="IB62" s="315"/>
      <c r="IC62" s="315"/>
      <c r="ID62" s="315"/>
      <c r="IE62" s="315"/>
      <c r="IF62" s="315"/>
      <c r="IG62" s="315"/>
      <c r="IH62" s="315"/>
      <c r="II62" s="315"/>
      <c r="IJ62" s="315"/>
      <c r="IK62" s="315"/>
      <c r="IL62" s="315"/>
      <c r="IM62" s="315"/>
      <c r="IN62" s="315"/>
      <c r="IO62" s="315"/>
      <c r="IP62" s="315"/>
      <c r="IQ62" s="315"/>
      <c r="IR62" s="315"/>
    </row>
    <row r="63" spans="1:252" s="326" customFormat="1" ht="14.5">
      <c r="A63" s="316"/>
      <c r="B63" s="316" t="str">
        <f>'Cashflow Ann'!E24</f>
        <v xml:space="preserve">Invoice finance interest paid </v>
      </c>
      <c r="C63" s="292"/>
      <c r="D63" s="321">
        <f ca="1">'Cashflow Ann'!J24</f>
        <v>0</v>
      </c>
      <c r="E63" s="321">
        <f ca="1">'Cashflow Ann'!K24</f>
        <v>0</v>
      </c>
      <c r="F63" s="321">
        <f ca="1">'Cashflow Ann'!L24</f>
        <v>0</v>
      </c>
      <c r="G63" s="321">
        <f ca="1">'Cashflow Ann'!M24</f>
        <v>0</v>
      </c>
      <c r="H63" s="321">
        <f ca="1">'Cashflow Ann'!N24</f>
        <v>0</v>
      </c>
      <c r="I63" s="316"/>
      <c r="J63" s="316"/>
      <c r="K63" s="325"/>
      <c r="L63" s="325"/>
      <c r="M63" s="325"/>
      <c r="N63" s="325"/>
      <c r="O63" s="325"/>
      <c r="P63" s="325"/>
      <c r="Q63" s="325"/>
      <c r="R63" s="325"/>
      <c r="S63" s="325"/>
      <c r="T63" s="325"/>
      <c r="U63" s="325"/>
      <c r="V63" s="325"/>
      <c r="W63" s="325"/>
      <c r="X63" s="325"/>
      <c r="Y63" s="325"/>
      <c r="Z63" s="325"/>
      <c r="AA63" s="325"/>
      <c r="AB63" s="325"/>
      <c r="AC63" s="325"/>
      <c r="AD63" s="325"/>
      <c r="AE63" s="325"/>
      <c r="AF63" s="325"/>
      <c r="AG63" s="325"/>
      <c r="AH63" s="325"/>
      <c r="AI63" s="325"/>
      <c r="AJ63" s="325"/>
      <c r="AK63" s="325"/>
      <c r="AL63" s="325"/>
      <c r="AM63" s="325"/>
      <c r="AN63" s="325"/>
      <c r="AO63" s="325"/>
      <c r="AP63" s="325"/>
      <c r="AQ63" s="325"/>
      <c r="AR63" s="325"/>
      <c r="AS63" s="325"/>
      <c r="AT63" s="325"/>
      <c r="AU63" s="325"/>
      <c r="AV63" s="325"/>
      <c r="AW63" s="325"/>
      <c r="AX63" s="325"/>
      <c r="AY63" s="325"/>
      <c r="AZ63" s="325"/>
      <c r="BA63" s="325"/>
      <c r="BB63" s="325"/>
      <c r="BC63" s="325"/>
      <c r="BD63" s="325"/>
      <c r="BE63" s="325"/>
      <c r="BF63" s="325"/>
      <c r="BG63" s="325"/>
      <c r="BH63" s="325"/>
      <c r="BI63" s="325"/>
      <c r="BJ63" s="325"/>
      <c r="BK63" s="325"/>
      <c r="BL63" s="325"/>
      <c r="BM63" s="325"/>
      <c r="BN63" s="325"/>
      <c r="BO63" s="325"/>
      <c r="BP63" s="325"/>
      <c r="BQ63" s="325"/>
      <c r="BR63" s="325"/>
      <c r="BS63" s="325"/>
      <c r="BT63" s="325"/>
      <c r="BU63" s="325"/>
      <c r="BV63" s="325"/>
      <c r="BW63" s="325"/>
      <c r="BX63" s="325"/>
      <c r="BY63" s="325"/>
      <c r="BZ63" s="325"/>
      <c r="CA63" s="325"/>
      <c r="CB63" s="325"/>
      <c r="CC63" s="325"/>
      <c r="CD63" s="325"/>
      <c r="CE63" s="325"/>
      <c r="CF63" s="325"/>
      <c r="CG63" s="325"/>
      <c r="CH63" s="325"/>
      <c r="CI63" s="325"/>
      <c r="CJ63" s="325"/>
      <c r="CK63" s="325"/>
      <c r="CL63" s="325"/>
      <c r="CM63" s="325"/>
      <c r="CN63" s="325"/>
      <c r="CO63" s="325"/>
      <c r="CP63" s="325"/>
      <c r="CQ63" s="325"/>
      <c r="CR63" s="325"/>
      <c r="CS63" s="325"/>
      <c r="CT63" s="325"/>
      <c r="CU63" s="325"/>
      <c r="CV63" s="325"/>
      <c r="CW63" s="325"/>
      <c r="CX63" s="325"/>
      <c r="CY63" s="325"/>
      <c r="CZ63" s="325"/>
      <c r="DA63" s="325"/>
      <c r="DB63" s="325"/>
      <c r="DC63" s="325"/>
      <c r="DD63" s="325"/>
      <c r="DE63" s="325"/>
      <c r="DF63" s="325"/>
      <c r="DG63" s="325"/>
      <c r="DH63" s="325"/>
      <c r="DI63" s="325"/>
      <c r="DJ63" s="325"/>
      <c r="DK63" s="325"/>
      <c r="DL63" s="325"/>
      <c r="DM63" s="325"/>
      <c r="DN63" s="325"/>
      <c r="DO63" s="325"/>
      <c r="DP63" s="325"/>
      <c r="DQ63" s="325"/>
      <c r="DR63" s="325"/>
      <c r="DS63" s="325"/>
      <c r="DT63" s="325"/>
      <c r="DU63" s="325"/>
      <c r="DV63" s="325"/>
      <c r="DW63" s="325"/>
      <c r="DX63" s="325"/>
      <c r="DY63" s="325"/>
      <c r="DZ63" s="325"/>
      <c r="EA63" s="325"/>
      <c r="EB63" s="325"/>
      <c r="EC63" s="325"/>
      <c r="ED63" s="325"/>
      <c r="EE63" s="325"/>
      <c r="EF63" s="325"/>
      <c r="EG63" s="325"/>
      <c r="EH63" s="325"/>
      <c r="EI63" s="325"/>
      <c r="EJ63" s="325"/>
      <c r="EK63" s="325"/>
      <c r="EL63" s="325"/>
      <c r="EM63" s="325"/>
      <c r="EN63" s="325"/>
      <c r="EO63" s="325"/>
      <c r="EP63" s="325"/>
      <c r="EQ63" s="325"/>
      <c r="ER63" s="325"/>
      <c r="ES63" s="325"/>
      <c r="ET63" s="325"/>
      <c r="EU63" s="325"/>
      <c r="EV63" s="325"/>
      <c r="EW63" s="325"/>
      <c r="EX63" s="325"/>
      <c r="EY63" s="325"/>
      <c r="EZ63" s="325"/>
      <c r="FA63" s="325"/>
      <c r="FB63" s="325"/>
      <c r="FC63" s="325"/>
      <c r="FD63" s="325"/>
      <c r="FE63" s="325"/>
      <c r="FF63" s="325"/>
      <c r="FG63" s="325"/>
      <c r="FH63" s="325"/>
      <c r="FI63" s="325"/>
      <c r="FJ63" s="325"/>
      <c r="FK63" s="325"/>
      <c r="FL63" s="325"/>
      <c r="FM63" s="325"/>
      <c r="FN63" s="325"/>
      <c r="FO63" s="325"/>
      <c r="FP63" s="325"/>
      <c r="FQ63" s="325"/>
      <c r="FR63" s="325"/>
      <c r="FS63" s="325"/>
      <c r="FT63" s="325"/>
      <c r="FU63" s="325"/>
      <c r="FV63" s="325"/>
      <c r="FW63" s="325"/>
      <c r="FX63" s="325"/>
      <c r="FY63" s="325"/>
      <c r="FZ63" s="325"/>
      <c r="GA63" s="325"/>
      <c r="GB63" s="325"/>
      <c r="GC63" s="325"/>
      <c r="GD63" s="325"/>
      <c r="GE63" s="325"/>
      <c r="GF63" s="325"/>
      <c r="GG63" s="325"/>
      <c r="GH63" s="325"/>
      <c r="GI63" s="325"/>
      <c r="GJ63" s="325"/>
      <c r="GK63" s="325"/>
      <c r="GL63" s="325"/>
      <c r="GM63" s="325"/>
      <c r="GN63" s="325"/>
      <c r="GO63" s="325"/>
      <c r="GP63" s="325"/>
      <c r="GQ63" s="325"/>
      <c r="GR63" s="325"/>
      <c r="GS63" s="325"/>
      <c r="GT63" s="325"/>
      <c r="GU63" s="325"/>
      <c r="GV63" s="325"/>
      <c r="GW63" s="325"/>
      <c r="GX63" s="325"/>
      <c r="GY63" s="325"/>
      <c r="GZ63" s="325"/>
      <c r="HA63" s="325"/>
      <c r="HB63" s="325"/>
      <c r="HC63" s="325"/>
      <c r="HD63" s="325"/>
      <c r="HE63" s="325"/>
      <c r="HF63" s="325"/>
      <c r="HG63" s="325"/>
      <c r="HH63" s="325"/>
      <c r="HI63" s="325"/>
      <c r="HJ63" s="325"/>
      <c r="HK63" s="325"/>
      <c r="HL63" s="325"/>
      <c r="HM63" s="325"/>
      <c r="HN63" s="325"/>
      <c r="HO63" s="325"/>
      <c r="HP63" s="325"/>
      <c r="HQ63" s="325"/>
      <c r="HR63" s="325"/>
      <c r="HS63" s="325"/>
      <c r="HT63" s="325"/>
      <c r="HU63" s="325"/>
      <c r="HV63" s="325"/>
      <c r="HW63" s="325"/>
      <c r="HX63" s="325"/>
      <c r="HY63" s="325"/>
      <c r="HZ63" s="325"/>
      <c r="IA63" s="325"/>
      <c r="IB63" s="325"/>
      <c r="IC63" s="325"/>
      <c r="ID63" s="325"/>
      <c r="IE63" s="325"/>
      <c r="IF63" s="325"/>
      <c r="IG63" s="325"/>
      <c r="IH63" s="325"/>
      <c r="II63" s="325"/>
      <c r="IJ63" s="325"/>
      <c r="IK63" s="325"/>
      <c r="IL63" s="325"/>
      <c r="IM63" s="325"/>
      <c r="IN63" s="325"/>
      <c r="IO63" s="325"/>
      <c r="IP63" s="325"/>
      <c r="IQ63" s="325"/>
      <c r="IR63" s="325"/>
    </row>
    <row r="64" spans="1:252" ht="15">
      <c r="A64" s="292"/>
      <c r="B64" s="316" t="str">
        <f>'Cashflow Ann'!E25</f>
        <v xml:space="preserve">Asset Finance interest paid </v>
      </c>
      <c r="C64" s="292"/>
      <c r="D64" s="321">
        <f ca="1">'Cashflow Ann'!J25</f>
        <v>0</v>
      </c>
      <c r="E64" s="321">
        <f ca="1">'Cashflow Ann'!K25</f>
        <v>0</v>
      </c>
      <c r="F64" s="321">
        <f ca="1">'Cashflow Ann'!L25</f>
        <v>0</v>
      </c>
      <c r="G64" s="321">
        <f ca="1">'Cashflow Ann'!M25</f>
        <v>0</v>
      </c>
      <c r="H64" s="321">
        <f ca="1">'Cashflow Ann'!N25</f>
        <v>0</v>
      </c>
      <c r="I64" s="292"/>
      <c r="J64" s="292"/>
      <c r="K64" s="315"/>
      <c r="L64" s="315"/>
      <c r="M64" s="315"/>
      <c r="N64" s="315"/>
      <c r="O64" s="315"/>
      <c r="P64" s="315"/>
      <c r="Q64" s="315"/>
      <c r="R64" s="315"/>
      <c r="S64" s="315"/>
      <c r="T64" s="315"/>
      <c r="U64" s="315"/>
      <c r="V64" s="315"/>
      <c r="W64" s="315"/>
      <c r="X64" s="315"/>
      <c r="Y64" s="315"/>
      <c r="Z64" s="315"/>
      <c r="AA64" s="315"/>
      <c r="AB64" s="315"/>
      <c r="AC64" s="315"/>
      <c r="AD64" s="315"/>
      <c r="AE64" s="315"/>
      <c r="AF64" s="315"/>
      <c r="AG64" s="315"/>
      <c r="AH64" s="315"/>
      <c r="AI64" s="315"/>
      <c r="AJ64" s="315"/>
      <c r="AK64" s="315"/>
      <c r="AL64" s="315"/>
      <c r="AM64" s="315"/>
      <c r="AN64" s="315"/>
      <c r="AO64" s="315"/>
      <c r="AP64" s="315"/>
      <c r="AQ64" s="315"/>
      <c r="AR64" s="315"/>
      <c r="AS64" s="315"/>
      <c r="AT64" s="315"/>
      <c r="AU64" s="315"/>
      <c r="AV64" s="315"/>
      <c r="AW64" s="315"/>
      <c r="AX64" s="315"/>
      <c r="AY64" s="315"/>
      <c r="AZ64" s="315"/>
      <c r="BA64" s="315"/>
      <c r="BB64" s="315"/>
      <c r="BC64" s="315"/>
      <c r="BD64" s="315"/>
      <c r="BE64" s="315"/>
      <c r="BF64" s="315"/>
      <c r="BG64" s="315"/>
      <c r="BH64" s="315"/>
      <c r="BI64" s="315"/>
      <c r="BJ64" s="315"/>
      <c r="BK64" s="315"/>
      <c r="BL64" s="315"/>
      <c r="BM64" s="315"/>
      <c r="BN64" s="315"/>
      <c r="BO64" s="315"/>
      <c r="BP64" s="315"/>
      <c r="BQ64" s="315"/>
      <c r="BR64" s="315"/>
      <c r="BS64" s="315"/>
      <c r="BT64" s="315"/>
      <c r="BU64" s="315"/>
      <c r="BV64" s="315"/>
      <c r="BW64" s="315"/>
      <c r="BX64" s="315"/>
      <c r="BY64" s="315"/>
      <c r="BZ64" s="315"/>
      <c r="CA64" s="315"/>
      <c r="CB64" s="315"/>
      <c r="CC64" s="315"/>
      <c r="CD64" s="315"/>
      <c r="CE64" s="315"/>
      <c r="CF64" s="315"/>
      <c r="CG64" s="315"/>
      <c r="CH64" s="315"/>
      <c r="CI64" s="315"/>
      <c r="CJ64" s="315"/>
      <c r="CK64" s="315"/>
      <c r="CL64" s="315"/>
      <c r="CM64" s="315"/>
      <c r="CN64" s="315"/>
      <c r="CO64" s="315"/>
      <c r="CP64" s="315"/>
      <c r="CQ64" s="315"/>
      <c r="CR64" s="315"/>
      <c r="CS64" s="315"/>
      <c r="CT64" s="315"/>
      <c r="CU64" s="315"/>
      <c r="CV64" s="315"/>
      <c r="CW64" s="315"/>
      <c r="CX64" s="315"/>
      <c r="CY64" s="315"/>
      <c r="CZ64" s="315"/>
      <c r="DA64" s="315"/>
      <c r="DB64" s="315"/>
      <c r="DC64" s="315"/>
      <c r="DD64" s="315"/>
      <c r="DE64" s="315"/>
      <c r="DF64" s="315"/>
      <c r="DG64" s="315"/>
      <c r="DH64" s="315"/>
      <c r="DI64" s="315"/>
      <c r="DJ64" s="315"/>
      <c r="DK64" s="315"/>
      <c r="DL64" s="315"/>
      <c r="DM64" s="315"/>
      <c r="DN64" s="315"/>
      <c r="DO64" s="315"/>
      <c r="DP64" s="315"/>
      <c r="DQ64" s="315"/>
      <c r="DR64" s="315"/>
      <c r="DS64" s="315"/>
      <c r="DT64" s="315"/>
      <c r="DU64" s="315"/>
      <c r="DV64" s="315"/>
      <c r="DW64" s="315"/>
      <c r="DX64" s="315"/>
      <c r="DY64" s="315"/>
      <c r="DZ64" s="315"/>
      <c r="EA64" s="315"/>
      <c r="EB64" s="315"/>
      <c r="EC64" s="315"/>
      <c r="ED64" s="315"/>
      <c r="EE64" s="315"/>
      <c r="EF64" s="315"/>
      <c r="EG64" s="315"/>
      <c r="EH64" s="315"/>
      <c r="EI64" s="315"/>
      <c r="EJ64" s="315"/>
      <c r="EK64" s="315"/>
      <c r="EL64" s="315"/>
      <c r="EM64" s="315"/>
      <c r="EN64" s="315"/>
      <c r="EO64" s="315"/>
      <c r="EP64" s="315"/>
      <c r="EQ64" s="315"/>
      <c r="ER64" s="315"/>
      <c r="ES64" s="315"/>
      <c r="ET64" s="315"/>
      <c r="EU64" s="315"/>
      <c r="EV64" s="315"/>
      <c r="EW64" s="315"/>
      <c r="EX64" s="315"/>
      <c r="EY64" s="315"/>
      <c r="EZ64" s="315"/>
      <c r="FA64" s="315"/>
      <c r="FB64" s="315"/>
      <c r="FC64" s="315"/>
      <c r="FD64" s="315"/>
      <c r="FE64" s="315"/>
      <c r="FF64" s="315"/>
      <c r="FG64" s="315"/>
      <c r="FH64" s="315"/>
      <c r="FI64" s="315"/>
      <c r="FJ64" s="315"/>
      <c r="FK64" s="315"/>
      <c r="FL64" s="315"/>
      <c r="FM64" s="315"/>
      <c r="FN64" s="315"/>
      <c r="FO64" s="315"/>
      <c r="FP64" s="315"/>
      <c r="FQ64" s="315"/>
      <c r="FR64" s="315"/>
      <c r="FS64" s="315"/>
      <c r="FT64" s="315"/>
      <c r="FU64" s="315"/>
      <c r="FV64" s="315"/>
      <c r="FW64" s="315"/>
      <c r="FX64" s="315"/>
      <c r="FY64" s="315"/>
      <c r="FZ64" s="315"/>
      <c r="GA64" s="315"/>
      <c r="GB64" s="315"/>
      <c r="GC64" s="315"/>
      <c r="GD64" s="315"/>
      <c r="GE64" s="315"/>
      <c r="GF64" s="315"/>
      <c r="GG64" s="315"/>
      <c r="GH64" s="315"/>
      <c r="GI64" s="315"/>
      <c r="GJ64" s="315"/>
      <c r="GK64" s="315"/>
      <c r="GL64" s="315"/>
      <c r="GM64" s="315"/>
      <c r="GN64" s="315"/>
      <c r="GO64" s="315"/>
      <c r="GP64" s="315"/>
      <c r="GQ64" s="315"/>
      <c r="GR64" s="315"/>
      <c r="GS64" s="315"/>
      <c r="GT64" s="315"/>
      <c r="GU64" s="315"/>
      <c r="GV64" s="315"/>
      <c r="GW64" s="315"/>
      <c r="GX64" s="315"/>
      <c r="GY64" s="315"/>
      <c r="GZ64" s="315"/>
      <c r="HA64" s="315"/>
      <c r="HB64" s="315"/>
      <c r="HC64" s="315"/>
      <c r="HD64" s="315"/>
      <c r="HE64" s="315"/>
      <c r="HF64" s="315"/>
      <c r="HG64" s="315"/>
      <c r="HH64" s="315"/>
      <c r="HI64" s="315"/>
      <c r="HJ64" s="315"/>
      <c r="HK64" s="315"/>
      <c r="HL64" s="315"/>
      <c r="HM64" s="315"/>
      <c r="HN64" s="315"/>
      <c r="HO64" s="315"/>
      <c r="HP64" s="315"/>
      <c r="HQ64" s="315"/>
      <c r="HR64" s="315"/>
      <c r="HS64" s="315"/>
      <c r="HT64" s="315"/>
      <c r="HU64" s="315"/>
      <c r="HV64" s="315"/>
      <c r="HW64" s="315"/>
      <c r="HX64" s="315"/>
      <c r="HY64" s="315"/>
      <c r="HZ64" s="315"/>
      <c r="IA64" s="315"/>
      <c r="IB64" s="315"/>
      <c r="IC64" s="315"/>
      <c r="ID64" s="315"/>
      <c r="IE64" s="315"/>
      <c r="IF64" s="315"/>
      <c r="IG64" s="315"/>
      <c r="IH64" s="315"/>
      <c r="II64" s="315"/>
      <c r="IJ64" s="315"/>
      <c r="IK64" s="315"/>
      <c r="IL64" s="315"/>
      <c r="IM64" s="315"/>
      <c r="IN64" s="315"/>
      <c r="IO64" s="315"/>
      <c r="IP64" s="315"/>
      <c r="IQ64" s="315"/>
      <c r="IR64" s="315"/>
    </row>
    <row r="65" spans="2:8" ht="14.5">
      <c r="B65" s="327" t="str">
        <f>'Cashflow Ann'!E26</f>
        <v>CF after financing</v>
      </c>
      <c r="C65" s="323"/>
      <c r="D65" s="324">
        <f ca="1">'Cashflow Ann'!J26</f>
        <v>2472193.3165630135</v>
      </c>
      <c r="E65" s="324">
        <f ca="1">'Cashflow Ann'!K26</f>
        <v>17863403.757426322</v>
      </c>
      <c r="F65" s="324">
        <f ca="1">'Cashflow Ann'!L26</f>
        <v>43926919.962376095</v>
      </c>
      <c r="G65" s="324">
        <f ca="1">'Cashflow Ann'!M26</f>
        <v>112103695.29917681</v>
      </c>
      <c r="H65" s="324">
        <f ca="1">'Cashflow Ann'!N26</f>
        <v>243017123.87633184</v>
      </c>
    </row>
    <row r="66" spans="2:8" ht="14.5">
      <c r="C66" s="292"/>
      <c r="D66" s="321"/>
      <c r="E66" s="321"/>
      <c r="F66" s="321"/>
      <c r="G66" s="321"/>
      <c r="H66" s="321"/>
    </row>
    <row r="67" spans="2:8" ht="14.5">
      <c r="B67" s="316" t="str">
        <f>'Cashflow Ann'!E28</f>
        <v>New share capital issued</v>
      </c>
      <c r="C67" s="292"/>
      <c r="D67" s="321">
        <f>'Cashflow Ann'!J28</f>
        <v>0</v>
      </c>
      <c r="E67" s="321">
        <f>'Cashflow Ann'!K28</f>
        <v>0</v>
      </c>
      <c r="F67" s="321">
        <f>'Cashflow Ann'!L28</f>
        <v>0</v>
      </c>
      <c r="G67" s="321">
        <f>'Cashflow Ann'!M28</f>
        <v>0</v>
      </c>
      <c r="H67" s="321">
        <f>'Cashflow Ann'!N28</f>
        <v>0</v>
      </c>
    </row>
    <row r="68" spans="2:8" ht="14.5">
      <c r="B68" s="327" t="str">
        <f>'Cashflow Ann'!E29</f>
        <v>Net Cashflow</v>
      </c>
      <c r="C68" s="323"/>
      <c r="D68" s="324">
        <f ca="1">'Cashflow Ann'!J29</f>
        <v>2472193.3165630135</v>
      </c>
      <c r="E68" s="324">
        <f ca="1">'Cashflow Ann'!K29</f>
        <v>17863403.757426322</v>
      </c>
      <c r="F68" s="324">
        <f ca="1">'Cashflow Ann'!L29</f>
        <v>43926919.962376095</v>
      </c>
      <c r="G68" s="324">
        <f ca="1">'Cashflow Ann'!M29</f>
        <v>112103695.29917681</v>
      </c>
      <c r="H68" s="324">
        <f ca="1">'Cashflow Ann'!N29</f>
        <v>243017123.87633184</v>
      </c>
    </row>
    <row r="69" spans="2:8" ht="14.5">
      <c r="C69" s="292"/>
      <c r="D69" s="321"/>
      <c r="E69" s="321"/>
      <c r="F69" s="321"/>
      <c r="G69" s="321"/>
      <c r="H69" s="321"/>
    </row>
    <row r="70" spans="2:8" ht="14.5">
      <c r="C70" s="292"/>
      <c r="D70" s="321"/>
      <c r="E70" s="321"/>
      <c r="F70" s="321"/>
      <c r="G70" s="321"/>
      <c r="H70" s="3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A383C-F9A3-4A6A-9B97-9F96B20FE896}">
  <sheetPr codeName="Sheet51"/>
  <dimension ref="A1:IR69"/>
  <sheetViews>
    <sheetView workbookViewId="0"/>
  </sheetViews>
  <sheetFormatPr defaultColWidth="20.33203125" defaultRowHeight="14.5"/>
  <cols>
    <col min="1" max="1" width="20.33203125" style="316"/>
    <col min="2" max="2" width="112.109375" style="316" customWidth="1"/>
    <col min="3" max="3" width="10.6640625" style="316" customWidth="1"/>
    <col min="4" max="4" width="38.77734375" style="316" customWidth="1"/>
    <col min="5" max="5" width="37.5546875" style="316" customWidth="1"/>
    <col min="6" max="6" width="32.6640625" style="316" customWidth="1"/>
    <col min="7" max="7" width="38.77734375" style="316" customWidth="1"/>
    <col min="8" max="9" width="37.5546875" style="316" customWidth="1"/>
    <col min="10" max="11" width="38.77734375" style="316" customWidth="1"/>
    <col min="12" max="13" width="37.5546875" style="316" customWidth="1"/>
    <col min="14" max="14" width="38.77734375" style="316" customWidth="1"/>
    <col min="15" max="15" width="37.5546875" style="316" customWidth="1"/>
    <col min="16" max="16" width="38.77734375" style="316" customWidth="1"/>
    <col min="17" max="18" width="37.5546875" style="316" customWidth="1"/>
    <col min="19" max="19" width="38.77734375" style="316" customWidth="1"/>
    <col min="20" max="21" width="37.5546875" style="316" customWidth="1"/>
    <col min="22" max="23" width="38.77734375" style="316" customWidth="1"/>
    <col min="24" max="25" width="37.5546875" style="316" customWidth="1"/>
    <col min="26" max="26" width="38.77734375" style="316" customWidth="1"/>
    <col min="27" max="27" width="37.5546875" style="316" customWidth="1"/>
    <col min="28" max="28" width="38.77734375" style="316" customWidth="1"/>
    <col min="29" max="30" width="37.5546875" style="316" customWidth="1"/>
    <col min="31" max="31" width="38.77734375" style="316" customWidth="1"/>
    <col min="32" max="33" width="37.5546875" style="316" customWidth="1"/>
    <col min="34" max="35" width="38.77734375" style="316" customWidth="1"/>
    <col min="36" max="37" width="37.5546875" style="316" customWidth="1"/>
    <col min="38" max="38" width="38.77734375" style="316" customWidth="1"/>
    <col min="39" max="39" width="37.5546875" style="316" customWidth="1"/>
    <col min="40" max="40" width="38.77734375" style="316" customWidth="1"/>
    <col min="41" max="41" width="37.5546875" style="316" customWidth="1"/>
    <col min="42" max="59" width="40" style="316" customWidth="1"/>
    <col min="60" max="63" width="46.109375" style="316" customWidth="1"/>
    <col min="64" max="251" width="20.33203125" style="316"/>
    <col min="252" max="16384" width="20.33203125" style="330"/>
  </cols>
  <sheetData>
    <row r="1" spans="1:252">
      <c r="A1" s="329"/>
      <c r="B1" s="329"/>
      <c r="C1" s="292"/>
      <c r="D1" s="329"/>
      <c r="E1" s="329"/>
      <c r="F1" s="329"/>
      <c r="G1" s="329"/>
      <c r="H1" s="329"/>
      <c r="I1" s="329"/>
      <c r="J1" s="329"/>
      <c r="K1" s="329"/>
      <c r="L1" s="329"/>
      <c r="M1" s="329"/>
      <c r="N1" s="329"/>
      <c r="O1" s="329"/>
      <c r="P1" s="329"/>
      <c r="Q1" s="329"/>
      <c r="R1" s="329"/>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c r="AR1" s="329"/>
      <c r="AS1" s="329"/>
      <c r="AT1" s="329"/>
      <c r="AU1" s="329"/>
      <c r="AV1" s="329"/>
      <c r="AW1" s="329"/>
      <c r="AX1" s="329"/>
      <c r="AY1" s="329"/>
      <c r="AZ1" s="329"/>
      <c r="BA1" s="329"/>
      <c r="BB1" s="329"/>
      <c r="BC1" s="329"/>
      <c r="BD1" s="329"/>
      <c r="BE1" s="329"/>
      <c r="BF1" s="329"/>
      <c r="BG1" s="329"/>
      <c r="BH1" s="329"/>
      <c r="BI1" s="329"/>
      <c r="BJ1" s="329"/>
      <c r="BK1" s="329"/>
      <c r="BL1" s="329"/>
      <c r="BM1" s="329"/>
      <c r="BN1" s="329"/>
      <c r="BO1" s="329"/>
      <c r="BP1" s="329"/>
      <c r="BQ1" s="329"/>
      <c r="BR1" s="329"/>
      <c r="BS1" s="329"/>
      <c r="BT1" s="329"/>
      <c r="BU1" s="329"/>
      <c r="BV1" s="329"/>
      <c r="BW1" s="329"/>
      <c r="BX1" s="329"/>
      <c r="BY1" s="329"/>
      <c r="BZ1" s="329"/>
      <c r="CA1" s="329"/>
      <c r="CB1" s="329"/>
      <c r="CC1" s="329"/>
      <c r="CD1" s="329"/>
      <c r="CE1" s="329"/>
      <c r="CF1" s="329"/>
      <c r="CG1" s="329"/>
      <c r="CH1" s="329"/>
      <c r="CI1" s="329"/>
      <c r="CJ1" s="329"/>
      <c r="CK1" s="329"/>
      <c r="CL1" s="329"/>
      <c r="CM1" s="329"/>
      <c r="CN1" s="329"/>
      <c r="CO1" s="329"/>
      <c r="CP1" s="329"/>
      <c r="CQ1" s="329"/>
      <c r="CR1" s="329"/>
      <c r="CS1" s="329"/>
      <c r="CT1" s="329"/>
      <c r="CU1" s="329"/>
      <c r="CV1" s="329"/>
      <c r="CW1" s="329"/>
      <c r="CX1" s="329"/>
      <c r="CY1" s="329"/>
      <c r="CZ1" s="329"/>
      <c r="DA1" s="329"/>
      <c r="DB1" s="329"/>
      <c r="DC1" s="329"/>
      <c r="DD1" s="329"/>
      <c r="DE1" s="329"/>
      <c r="DF1" s="329"/>
      <c r="DG1" s="329"/>
      <c r="DH1" s="329"/>
      <c r="DI1" s="329"/>
      <c r="DJ1" s="329"/>
      <c r="DK1" s="329"/>
      <c r="DL1" s="329"/>
      <c r="DM1" s="329"/>
      <c r="DN1" s="329"/>
      <c r="DO1" s="329"/>
      <c r="DP1" s="329"/>
      <c r="DQ1" s="329"/>
      <c r="DR1" s="329"/>
      <c r="DS1" s="329"/>
      <c r="DT1" s="329"/>
      <c r="DU1" s="329"/>
      <c r="DV1" s="329"/>
      <c r="DW1" s="329"/>
      <c r="DX1" s="329"/>
      <c r="DY1" s="329"/>
      <c r="DZ1" s="329"/>
      <c r="EA1" s="329"/>
      <c r="EB1" s="329"/>
      <c r="EC1" s="329"/>
      <c r="ED1" s="329"/>
      <c r="EE1" s="329"/>
      <c r="EF1" s="329"/>
      <c r="EG1" s="329"/>
      <c r="EH1" s="329"/>
      <c r="EI1" s="329"/>
      <c r="EJ1" s="329"/>
      <c r="EK1" s="329"/>
      <c r="EL1" s="329"/>
      <c r="EM1" s="329"/>
      <c r="EN1" s="329"/>
      <c r="EO1" s="329"/>
      <c r="EP1" s="329"/>
      <c r="EQ1" s="329"/>
      <c r="ER1" s="329"/>
      <c r="ES1" s="329"/>
      <c r="ET1" s="329"/>
      <c r="EU1" s="329"/>
      <c r="EV1" s="329"/>
      <c r="EW1" s="329"/>
      <c r="EX1" s="329"/>
      <c r="EY1" s="329"/>
      <c r="EZ1" s="329"/>
      <c r="FA1" s="329"/>
      <c r="FB1" s="329"/>
      <c r="FC1" s="329"/>
      <c r="FD1" s="329"/>
      <c r="FE1" s="329"/>
      <c r="FF1" s="329"/>
      <c r="FG1" s="329"/>
      <c r="FH1" s="329"/>
      <c r="FI1" s="329"/>
      <c r="FJ1" s="329"/>
      <c r="FK1" s="329"/>
      <c r="FL1" s="329"/>
      <c r="FM1" s="329"/>
      <c r="FN1" s="329"/>
      <c r="FO1" s="329"/>
      <c r="FP1" s="329"/>
      <c r="FQ1" s="329"/>
      <c r="FR1" s="329"/>
      <c r="FS1" s="329"/>
      <c r="FT1" s="329"/>
      <c r="FU1" s="329"/>
      <c r="FV1" s="329"/>
      <c r="FW1" s="329"/>
      <c r="FX1" s="329"/>
      <c r="FY1" s="329"/>
      <c r="FZ1" s="329"/>
      <c r="GA1" s="329"/>
      <c r="GB1" s="329"/>
      <c r="GC1" s="329"/>
      <c r="GD1" s="329"/>
      <c r="GE1" s="329"/>
      <c r="GF1" s="329"/>
      <c r="GG1" s="329"/>
      <c r="GH1" s="329"/>
      <c r="GI1" s="329"/>
      <c r="GJ1" s="329"/>
      <c r="GK1" s="329"/>
      <c r="GL1" s="329"/>
      <c r="GM1" s="329"/>
      <c r="GN1" s="329"/>
      <c r="GO1" s="329"/>
      <c r="GP1" s="329"/>
      <c r="GQ1" s="329"/>
      <c r="GR1" s="329"/>
      <c r="GS1" s="329"/>
      <c r="GT1" s="329"/>
      <c r="GU1" s="329"/>
      <c r="GV1" s="329"/>
      <c r="GW1" s="329"/>
      <c r="GX1" s="329"/>
      <c r="GY1" s="329"/>
      <c r="GZ1" s="329"/>
      <c r="HA1" s="329"/>
      <c r="HB1" s="329"/>
      <c r="HC1" s="329"/>
      <c r="HD1" s="329"/>
      <c r="HE1" s="329"/>
      <c r="HF1" s="329"/>
      <c r="HG1" s="329"/>
      <c r="HH1" s="329"/>
      <c r="HI1" s="329"/>
      <c r="HJ1" s="329"/>
      <c r="HK1" s="329"/>
      <c r="HL1" s="329"/>
      <c r="HM1" s="329"/>
      <c r="HN1" s="329"/>
      <c r="HO1" s="329"/>
      <c r="HP1" s="329"/>
      <c r="HQ1" s="329"/>
      <c r="HR1" s="329"/>
      <c r="HS1" s="329"/>
      <c r="HT1" s="329"/>
      <c r="HU1" s="329"/>
      <c r="HV1" s="329"/>
      <c r="HW1" s="329"/>
      <c r="HX1" s="329"/>
      <c r="HY1" s="329"/>
      <c r="HZ1" s="329"/>
      <c r="IA1" s="329"/>
      <c r="IB1" s="329"/>
      <c r="IC1" s="329"/>
      <c r="ID1" s="329"/>
      <c r="IE1" s="329"/>
      <c r="IF1" s="329"/>
      <c r="IG1" s="329"/>
      <c r="IH1" s="329"/>
      <c r="II1" s="329"/>
      <c r="IJ1" s="329"/>
      <c r="IK1" s="329"/>
      <c r="IL1" s="329"/>
      <c r="IM1" s="329"/>
      <c r="IN1" s="329"/>
      <c r="IO1" s="329"/>
      <c r="IP1" s="329"/>
      <c r="IQ1" s="329"/>
      <c r="IR1" s="329"/>
    </row>
    <row r="2" spans="1:252" s="333" customFormat="1">
      <c r="A2" s="331"/>
      <c r="B2" s="331" t="s">
        <v>477</v>
      </c>
      <c r="C2" s="292"/>
      <c r="D2" s="332">
        <f>'Income Statement'!J2</f>
        <v>45077</v>
      </c>
      <c r="E2" s="332">
        <f>'Income Statement'!K2</f>
        <v>45107</v>
      </c>
      <c r="F2" s="332">
        <f>'Income Statement'!L2</f>
        <v>45138</v>
      </c>
      <c r="G2" s="332">
        <f>'Income Statement'!M2</f>
        <v>45169</v>
      </c>
      <c r="H2" s="332">
        <f>'Income Statement'!N2</f>
        <v>45199</v>
      </c>
      <c r="I2" s="332">
        <f>'Income Statement'!O2</f>
        <v>45230</v>
      </c>
      <c r="J2" s="332">
        <f>'Income Statement'!P2</f>
        <v>45260</v>
      </c>
      <c r="K2" s="332">
        <f>'Income Statement'!Q2</f>
        <v>45291</v>
      </c>
      <c r="L2" s="332">
        <f>'Income Statement'!R2</f>
        <v>45322</v>
      </c>
      <c r="M2" s="332">
        <f>'Income Statement'!S2</f>
        <v>45351</v>
      </c>
      <c r="N2" s="332">
        <f>'Income Statement'!T2</f>
        <v>45382</v>
      </c>
      <c r="O2" s="332">
        <f>'Income Statement'!U2</f>
        <v>45412</v>
      </c>
      <c r="P2" s="332">
        <f>'Income Statement'!V2</f>
        <v>45443</v>
      </c>
      <c r="Q2" s="332">
        <f>'Income Statement'!W2</f>
        <v>45473</v>
      </c>
      <c r="R2" s="332">
        <f>'Income Statement'!X2</f>
        <v>45504</v>
      </c>
      <c r="S2" s="332">
        <f>'Income Statement'!Y2</f>
        <v>45535</v>
      </c>
      <c r="T2" s="332">
        <f>'Income Statement'!Z2</f>
        <v>45565</v>
      </c>
      <c r="U2" s="332">
        <f>'Income Statement'!AA2</f>
        <v>45596</v>
      </c>
      <c r="V2" s="332">
        <f>'Income Statement'!AB2</f>
        <v>45626</v>
      </c>
      <c r="W2" s="332">
        <f>'Income Statement'!AC2</f>
        <v>45657</v>
      </c>
      <c r="X2" s="332">
        <f>'Income Statement'!AD2</f>
        <v>45688</v>
      </c>
      <c r="Y2" s="332">
        <f>'Income Statement'!AE2</f>
        <v>45716</v>
      </c>
      <c r="Z2" s="332">
        <f>'Income Statement'!AF2</f>
        <v>45747</v>
      </c>
      <c r="AA2" s="332">
        <f>'Income Statement'!AG2</f>
        <v>45777</v>
      </c>
      <c r="AB2" s="332">
        <f>'Income Statement'!AH2</f>
        <v>45808</v>
      </c>
      <c r="AC2" s="332">
        <f>'Income Statement'!AI2</f>
        <v>45838</v>
      </c>
      <c r="AD2" s="332">
        <f>'Income Statement'!AJ2</f>
        <v>45869</v>
      </c>
      <c r="AE2" s="332">
        <f>'Income Statement'!AK2</f>
        <v>45900</v>
      </c>
      <c r="AF2" s="332">
        <f>'Income Statement'!AL2</f>
        <v>45930</v>
      </c>
      <c r="AG2" s="332">
        <f>'Income Statement'!AM2</f>
        <v>45961</v>
      </c>
      <c r="AH2" s="332">
        <f>'Income Statement'!AN2</f>
        <v>45991</v>
      </c>
      <c r="AI2" s="332">
        <f>'Income Statement'!AO2</f>
        <v>46022</v>
      </c>
      <c r="AJ2" s="332">
        <f>'Income Statement'!AP2</f>
        <v>46053</v>
      </c>
      <c r="AK2" s="332">
        <f>'Income Statement'!AQ2</f>
        <v>46081</v>
      </c>
      <c r="AL2" s="332">
        <f>'Income Statement'!AR2</f>
        <v>46112</v>
      </c>
      <c r="AM2" s="332">
        <f>'Income Statement'!AS2</f>
        <v>46142</v>
      </c>
      <c r="AN2" s="332">
        <f>'Income Statement'!AT2</f>
        <v>46173</v>
      </c>
      <c r="AO2" s="332">
        <f>'Income Statement'!AU2</f>
        <v>46203</v>
      </c>
      <c r="AP2" s="332">
        <f>'Income Statement'!AV2</f>
        <v>46234</v>
      </c>
      <c r="AQ2" s="332">
        <f>'Income Statement'!AW2</f>
        <v>46265</v>
      </c>
      <c r="AR2" s="332">
        <f>'Income Statement'!AX2</f>
        <v>46295</v>
      </c>
      <c r="AS2" s="332">
        <f>'Income Statement'!AY2</f>
        <v>46326</v>
      </c>
      <c r="AT2" s="332">
        <f>'Income Statement'!AZ2</f>
        <v>46356</v>
      </c>
      <c r="AU2" s="332">
        <f>'Income Statement'!BA2</f>
        <v>46387</v>
      </c>
      <c r="AV2" s="332">
        <f>'Income Statement'!BB2</f>
        <v>46418</v>
      </c>
      <c r="AW2" s="332">
        <f>'Income Statement'!BC2</f>
        <v>46446</v>
      </c>
      <c r="AX2" s="332">
        <f>'Income Statement'!BD2</f>
        <v>46477</v>
      </c>
      <c r="AY2" s="332">
        <f>'Income Statement'!BE2</f>
        <v>46507</v>
      </c>
      <c r="AZ2" s="332">
        <f>'Income Statement'!BF2</f>
        <v>46538</v>
      </c>
      <c r="BA2" s="332">
        <f>'Income Statement'!BG2</f>
        <v>46568</v>
      </c>
      <c r="BB2" s="332">
        <f>'Income Statement'!BH2</f>
        <v>46599</v>
      </c>
      <c r="BC2" s="332">
        <f>'Income Statement'!BI2</f>
        <v>46630</v>
      </c>
      <c r="BD2" s="332">
        <f>'Income Statement'!BJ2</f>
        <v>46660</v>
      </c>
      <c r="BE2" s="332">
        <f>'Income Statement'!BK2</f>
        <v>46691</v>
      </c>
      <c r="BF2" s="332">
        <f>'Income Statement'!BL2</f>
        <v>46721</v>
      </c>
      <c r="BG2" s="332">
        <f>'Income Statement'!BM2</f>
        <v>46752</v>
      </c>
      <c r="BH2" s="332">
        <f>'Income Statement'!BN2</f>
        <v>46783</v>
      </c>
      <c r="BI2" s="332">
        <f>'Income Statement'!BO2</f>
        <v>46812</v>
      </c>
      <c r="BJ2" s="332">
        <f>'Income Statement'!BP2</f>
        <v>46843</v>
      </c>
      <c r="BK2" s="332">
        <f>'Income Statement'!BQ2</f>
        <v>46873</v>
      </c>
      <c r="BL2" s="331"/>
      <c r="BM2" s="331"/>
      <c r="BN2" s="331"/>
      <c r="BO2" s="331"/>
      <c r="BP2" s="331"/>
      <c r="BQ2" s="331"/>
      <c r="BR2" s="331"/>
      <c r="BS2" s="331"/>
      <c r="BT2" s="331"/>
      <c r="BU2" s="331"/>
      <c r="BV2" s="331"/>
      <c r="BW2" s="331"/>
      <c r="BX2" s="331"/>
      <c r="BY2" s="331"/>
      <c r="BZ2" s="331"/>
      <c r="CA2" s="331"/>
      <c r="CB2" s="331"/>
      <c r="CC2" s="331"/>
      <c r="CD2" s="331"/>
      <c r="CE2" s="331"/>
      <c r="CF2" s="331"/>
      <c r="CG2" s="331"/>
      <c r="CH2" s="331"/>
      <c r="CI2" s="331"/>
      <c r="CJ2" s="331"/>
      <c r="CK2" s="331"/>
      <c r="CL2" s="331"/>
      <c r="CM2" s="331"/>
      <c r="CN2" s="331"/>
      <c r="CO2" s="331"/>
      <c r="CP2" s="331"/>
      <c r="CQ2" s="331"/>
      <c r="CR2" s="331"/>
      <c r="CS2" s="331"/>
      <c r="CT2" s="331"/>
      <c r="CU2" s="331"/>
      <c r="CV2" s="331"/>
      <c r="CW2" s="331"/>
      <c r="CX2" s="331"/>
      <c r="CY2" s="331"/>
      <c r="CZ2" s="331"/>
      <c r="DA2" s="331"/>
      <c r="DB2" s="331"/>
      <c r="DC2" s="331"/>
      <c r="DD2" s="331"/>
      <c r="DE2" s="331"/>
      <c r="DF2" s="331"/>
      <c r="DG2" s="331"/>
      <c r="DH2" s="331"/>
      <c r="DI2" s="331"/>
      <c r="DJ2" s="331"/>
      <c r="DK2" s="331"/>
      <c r="DL2" s="331"/>
      <c r="DM2" s="331"/>
      <c r="DN2" s="331"/>
      <c r="DO2" s="331"/>
      <c r="DP2" s="331"/>
      <c r="DQ2" s="331"/>
      <c r="DR2" s="331"/>
      <c r="DS2" s="331"/>
      <c r="DT2" s="331"/>
      <c r="DU2" s="331"/>
      <c r="DV2" s="331"/>
      <c r="DW2" s="331"/>
      <c r="DX2" s="331"/>
      <c r="DY2" s="331"/>
      <c r="DZ2" s="331"/>
      <c r="EA2" s="331"/>
      <c r="EB2" s="331"/>
      <c r="EC2" s="331"/>
      <c r="ED2" s="331"/>
      <c r="EE2" s="331"/>
      <c r="EF2" s="331"/>
      <c r="EG2" s="331"/>
      <c r="EH2" s="331"/>
      <c r="EI2" s="331"/>
      <c r="EJ2" s="331"/>
      <c r="EK2" s="331"/>
      <c r="EL2" s="331"/>
      <c r="EM2" s="331"/>
      <c r="EN2" s="331"/>
      <c r="EO2" s="331"/>
      <c r="EP2" s="331"/>
      <c r="EQ2" s="331"/>
      <c r="ER2" s="331"/>
      <c r="ES2" s="331"/>
      <c r="ET2" s="331"/>
      <c r="EU2" s="331"/>
      <c r="EV2" s="331"/>
      <c r="EW2" s="331"/>
      <c r="EX2" s="331"/>
      <c r="EY2" s="331"/>
      <c r="EZ2" s="331"/>
      <c r="FA2" s="331"/>
      <c r="FB2" s="331"/>
      <c r="FC2" s="331"/>
      <c r="FD2" s="331"/>
      <c r="FE2" s="331"/>
      <c r="FF2" s="331"/>
      <c r="FG2" s="331"/>
      <c r="FH2" s="331"/>
      <c r="FI2" s="331"/>
      <c r="FJ2" s="331"/>
      <c r="FK2" s="331"/>
      <c r="FL2" s="331"/>
      <c r="FM2" s="331"/>
      <c r="FN2" s="331"/>
      <c r="FO2" s="331"/>
      <c r="FP2" s="331"/>
      <c r="FQ2" s="331"/>
      <c r="FR2" s="331"/>
      <c r="FS2" s="331"/>
      <c r="FT2" s="331"/>
      <c r="FU2" s="331"/>
      <c r="FV2" s="331"/>
      <c r="FW2" s="331"/>
      <c r="FX2" s="331"/>
      <c r="FY2" s="331"/>
      <c r="FZ2" s="331"/>
      <c r="GA2" s="331"/>
      <c r="GB2" s="331"/>
      <c r="GC2" s="331"/>
      <c r="GD2" s="331"/>
      <c r="GE2" s="331"/>
      <c r="GF2" s="331"/>
      <c r="GG2" s="331"/>
      <c r="GH2" s="331"/>
      <c r="GI2" s="331"/>
      <c r="GJ2" s="331"/>
      <c r="GK2" s="331"/>
      <c r="GL2" s="331"/>
      <c r="GM2" s="331"/>
      <c r="GN2" s="331"/>
      <c r="GO2" s="331"/>
      <c r="GP2" s="331"/>
      <c r="GQ2" s="331"/>
      <c r="GR2" s="331"/>
      <c r="GS2" s="331"/>
      <c r="GT2" s="331"/>
      <c r="GU2" s="331"/>
      <c r="GV2" s="331"/>
      <c r="GW2" s="331"/>
      <c r="GX2" s="331"/>
      <c r="GY2" s="331"/>
      <c r="GZ2" s="331"/>
      <c r="HA2" s="331"/>
      <c r="HB2" s="331"/>
      <c r="HC2" s="331"/>
      <c r="HD2" s="331"/>
      <c r="HE2" s="331"/>
      <c r="HF2" s="331"/>
      <c r="HG2" s="331"/>
      <c r="HH2" s="331"/>
      <c r="HI2" s="331"/>
      <c r="HJ2" s="331"/>
      <c r="HK2" s="331"/>
      <c r="HL2" s="331"/>
      <c r="HM2" s="331"/>
      <c r="HN2" s="331"/>
      <c r="HO2" s="331"/>
      <c r="HP2" s="331"/>
      <c r="HQ2" s="331"/>
      <c r="HR2" s="331"/>
      <c r="HS2" s="331"/>
      <c r="HT2" s="331"/>
      <c r="HU2" s="331"/>
      <c r="HV2" s="331"/>
      <c r="HW2" s="331"/>
      <c r="HX2" s="331"/>
      <c r="HY2" s="331"/>
      <c r="HZ2" s="331"/>
      <c r="IA2" s="331"/>
      <c r="IB2" s="331"/>
      <c r="IC2" s="331"/>
      <c r="ID2" s="331"/>
      <c r="IE2" s="331"/>
      <c r="IF2" s="331"/>
      <c r="IG2" s="331"/>
      <c r="IH2" s="331"/>
      <c r="II2" s="331"/>
      <c r="IJ2" s="331"/>
      <c r="IK2" s="331"/>
      <c r="IL2" s="331"/>
      <c r="IM2" s="331"/>
      <c r="IN2" s="331"/>
      <c r="IO2" s="331"/>
      <c r="IP2" s="331"/>
      <c r="IQ2" s="331"/>
      <c r="IR2" s="331"/>
    </row>
    <row r="3" spans="1:252">
      <c r="A3" s="329"/>
      <c r="B3" s="329"/>
      <c r="C3" s="292"/>
      <c r="D3" s="329"/>
      <c r="E3" s="329"/>
      <c r="F3" s="329"/>
      <c r="G3" s="329"/>
      <c r="H3" s="329"/>
      <c r="I3" s="329"/>
      <c r="J3" s="329"/>
      <c r="K3" s="329"/>
      <c r="L3" s="329"/>
      <c r="M3" s="329"/>
      <c r="N3" s="329"/>
      <c r="O3" s="329"/>
      <c r="P3" s="329"/>
      <c r="Q3" s="329"/>
      <c r="R3" s="329"/>
      <c r="S3" s="329"/>
      <c r="T3" s="329"/>
      <c r="U3" s="329"/>
      <c r="V3" s="329"/>
      <c r="W3" s="329"/>
      <c r="X3" s="329"/>
      <c r="Y3" s="329"/>
      <c r="Z3" s="329"/>
      <c r="AA3" s="329"/>
      <c r="AB3" s="329"/>
      <c r="AC3" s="329"/>
      <c r="AD3" s="329"/>
      <c r="AE3" s="329"/>
      <c r="AF3" s="329"/>
      <c r="AG3" s="329"/>
      <c r="AH3" s="329"/>
      <c r="AI3" s="329"/>
      <c r="AJ3" s="329"/>
      <c r="AK3" s="329"/>
      <c r="AL3" s="329"/>
      <c r="AM3" s="329"/>
      <c r="AN3" s="329"/>
      <c r="AO3" s="329"/>
      <c r="AP3" s="329"/>
      <c r="AQ3" s="329"/>
      <c r="AR3" s="329"/>
      <c r="AS3" s="329"/>
      <c r="AT3" s="329"/>
      <c r="AU3" s="329"/>
      <c r="AV3" s="329"/>
      <c r="AW3" s="329"/>
      <c r="AX3" s="329"/>
      <c r="AY3" s="329"/>
      <c r="AZ3" s="329"/>
      <c r="BA3" s="329"/>
      <c r="BB3" s="329"/>
      <c r="BC3" s="329"/>
      <c r="BD3" s="329"/>
      <c r="BE3" s="329"/>
      <c r="BF3" s="329"/>
      <c r="BG3" s="329"/>
      <c r="BH3" s="329"/>
      <c r="BI3" s="329"/>
      <c r="BJ3" s="329"/>
      <c r="BK3" s="329"/>
      <c r="BL3" s="329"/>
      <c r="BM3" s="329"/>
      <c r="BN3" s="329"/>
      <c r="BO3" s="329"/>
      <c r="BP3" s="329"/>
      <c r="BQ3" s="329"/>
      <c r="BR3" s="329"/>
      <c r="BS3" s="329"/>
      <c r="BT3" s="329"/>
      <c r="BU3" s="329"/>
      <c r="BV3" s="329"/>
      <c r="BW3" s="329"/>
      <c r="BX3" s="329"/>
      <c r="BY3" s="329"/>
      <c r="BZ3" s="329"/>
      <c r="CA3" s="329"/>
      <c r="CB3" s="329"/>
      <c r="CC3" s="329"/>
      <c r="CD3" s="329"/>
      <c r="CE3" s="329"/>
      <c r="CF3" s="329"/>
      <c r="CG3" s="329"/>
      <c r="CH3" s="329"/>
      <c r="CI3" s="329"/>
      <c r="CJ3" s="329"/>
      <c r="CK3" s="329"/>
      <c r="CL3" s="329"/>
      <c r="CM3" s="329"/>
      <c r="CN3" s="329"/>
      <c r="CO3" s="329"/>
      <c r="CP3" s="329"/>
      <c r="CQ3" s="329"/>
      <c r="CR3" s="329"/>
      <c r="CS3" s="329"/>
      <c r="CT3" s="329"/>
      <c r="CU3" s="329"/>
      <c r="CV3" s="329"/>
      <c r="CW3" s="329"/>
      <c r="CX3" s="329"/>
      <c r="CY3" s="329"/>
      <c r="CZ3" s="329"/>
      <c r="DA3" s="329"/>
      <c r="DB3" s="329"/>
      <c r="DC3" s="329"/>
      <c r="DD3" s="329"/>
      <c r="DE3" s="329"/>
      <c r="DF3" s="329"/>
      <c r="DG3" s="329"/>
      <c r="DH3" s="329"/>
      <c r="DI3" s="329"/>
      <c r="DJ3" s="329"/>
      <c r="DK3" s="329"/>
      <c r="DL3" s="329"/>
      <c r="DM3" s="329"/>
      <c r="DN3" s="329"/>
      <c r="DO3" s="329"/>
      <c r="DP3" s="329"/>
      <c r="DQ3" s="329"/>
      <c r="DR3" s="329"/>
      <c r="DS3" s="329"/>
      <c r="DT3" s="329"/>
      <c r="DU3" s="329"/>
      <c r="DV3" s="329"/>
      <c r="DW3" s="329"/>
      <c r="DX3" s="329"/>
      <c r="DY3" s="329"/>
      <c r="DZ3" s="329"/>
      <c r="EA3" s="329"/>
      <c r="EB3" s="329"/>
      <c r="EC3" s="329"/>
      <c r="ED3" s="329"/>
      <c r="EE3" s="329"/>
      <c r="EF3" s="329"/>
      <c r="EG3" s="329"/>
      <c r="EH3" s="329"/>
      <c r="EI3" s="329"/>
      <c r="EJ3" s="329"/>
      <c r="EK3" s="329"/>
      <c r="EL3" s="329"/>
      <c r="EM3" s="329"/>
      <c r="EN3" s="329"/>
      <c r="EO3" s="329"/>
      <c r="EP3" s="329"/>
      <c r="EQ3" s="329"/>
      <c r="ER3" s="329"/>
      <c r="ES3" s="329"/>
      <c r="ET3" s="329"/>
      <c r="EU3" s="329"/>
      <c r="EV3" s="329"/>
      <c r="EW3" s="329"/>
      <c r="EX3" s="329"/>
      <c r="EY3" s="329"/>
      <c r="EZ3" s="329"/>
      <c r="FA3" s="329"/>
      <c r="FB3" s="329"/>
      <c r="FC3" s="329"/>
      <c r="FD3" s="329"/>
      <c r="FE3" s="329"/>
      <c r="FF3" s="329"/>
      <c r="FG3" s="329"/>
      <c r="FH3" s="329"/>
      <c r="FI3" s="329"/>
      <c r="FJ3" s="329"/>
      <c r="FK3" s="329"/>
      <c r="FL3" s="329"/>
      <c r="FM3" s="329"/>
      <c r="FN3" s="329"/>
      <c r="FO3" s="329"/>
      <c r="FP3" s="329"/>
      <c r="FQ3" s="329"/>
      <c r="FR3" s="329"/>
      <c r="FS3" s="329"/>
      <c r="FT3" s="329"/>
      <c r="FU3" s="329"/>
      <c r="FV3" s="329"/>
      <c r="FW3" s="329"/>
      <c r="FX3" s="329"/>
      <c r="FY3" s="329"/>
      <c r="FZ3" s="329"/>
      <c r="GA3" s="329"/>
      <c r="GB3" s="329"/>
      <c r="GC3" s="329"/>
      <c r="GD3" s="329"/>
      <c r="GE3" s="329"/>
      <c r="GF3" s="329"/>
      <c r="GG3" s="329"/>
      <c r="GH3" s="329"/>
      <c r="GI3" s="329"/>
      <c r="GJ3" s="329"/>
      <c r="GK3" s="329"/>
      <c r="GL3" s="329"/>
      <c r="GM3" s="329"/>
      <c r="GN3" s="329"/>
      <c r="GO3" s="329"/>
      <c r="GP3" s="329"/>
      <c r="GQ3" s="329"/>
      <c r="GR3" s="329"/>
      <c r="GS3" s="329"/>
      <c r="GT3" s="329"/>
      <c r="GU3" s="329"/>
      <c r="GV3" s="329"/>
      <c r="GW3" s="329"/>
      <c r="GX3" s="329"/>
      <c r="GY3" s="329"/>
      <c r="GZ3" s="329"/>
      <c r="HA3" s="329"/>
      <c r="HB3" s="329"/>
      <c r="HC3" s="329"/>
      <c r="HD3" s="329"/>
      <c r="HE3" s="329"/>
      <c r="HF3" s="329"/>
      <c r="HG3" s="329"/>
      <c r="HH3" s="329"/>
      <c r="HI3" s="329"/>
      <c r="HJ3" s="329"/>
      <c r="HK3" s="329"/>
      <c r="HL3" s="329"/>
      <c r="HM3" s="329"/>
      <c r="HN3" s="329"/>
      <c r="HO3" s="329"/>
      <c r="HP3" s="329"/>
      <c r="HQ3" s="329"/>
      <c r="HR3" s="329"/>
      <c r="HS3" s="329"/>
      <c r="HT3" s="329"/>
      <c r="HU3" s="329"/>
      <c r="HV3" s="329"/>
      <c r="HW3" s="329"/>
      <c r="HX3" s="329"/>
      <c r="HY3" s="329"/>
      <c r="HZ3" s="329"/>
      <c r="IA3" s="329"/>
      <c r="IB3" s="329"/>
      <c r="IC3" s="329"/>
      <c r="ID3" s="329"/>
      <c r="IE3" s="329"/>
      <c r="IF3" s="329"/>
      <c r="IG3" s="329"/>
      <c r="IH3" s="329"/>
      <c r="II3" s="329"/>
      <c r="IJ3" s="329"/>
      <c r="IK3" s="329"/>
      <c r="IL3" s="329"/>
      <c r="IM3" s="329"/>
      <c r="IN3" s="329"/>
      <c r="IO3" s="329"/>
      <c r="IP3" s="329"/>
      <c r="IQ3" s="329"/>
      <c r="IR3" s="329"/>
    </row>
    <row r="4" spans="1:252">
      <c r="B4" s="316" t="str">
        <f>'Income Statement'!E8</f>
        <v>Income</v>
      </c>
      <c r="C4" s="292"/>
      <c r="D4" s="334">
        <f ca="1">'Income Statement'!J8</f>
        <v>0</v>
      </c>
      <c r="E4" s="334">
        <f ca="1">'Income Statement'!K8</f>
        <v>0</v>
      </c>
      <c r="F4" s="334">
        <f ca="1">'Income Statement'!L8</f>
        <v>70000</v>
      </c>
      <c r="G4" s="334">
        <f ca="1">'Income Statement'!M8</f>
        <v>105000</v>
      </c>
      <c r="H4" s="334">
        <f ca="1">'Income Statement'!N8</f>
        <v>140000</v>
      </c>
      <c r="I4" s="334">
        <f ca="1">'Income Statement'!O8</f>
        <v>175000</v>
      </c>
      <c r="J4" s="334">
        <f ca="1">'Income Statement'!P8</f>
        <v>350000</v>
      </c>
      <c r="K4" s="334">
        <f ca="1">'Income Statement'!Q8</f>
        <v>455000</v>
      </c>
      <c r="L4" s="334">
        <f ca="1">'Income Statement'!R8</f>
        <v>525000</v>
      </c>
      <c r="M4" s="334">
        <f ca="1">'Income Statement'!S8</f>
        <v>525000</v>
      </c>
      <c r="N4" s="334">
        <f ca="1">'Income Statement'!T8</f>
        <v>875000</v>
      </c>
      <c r="O4" s="334">
        <f ca="1">'Income Statement'!U8</f>
        <v>875000</v>
      </c>
      <c r="P4" s="334">
        <f ca="1">'Income Statement'!V8</f>
        <v>1225000</v>
      </c>
      <c r="Q4" s="334">
        <f ca="1">'Income Statement'!W8</f>
        <v>1515406.0415128767</v>
      </c>
      <c r="R4" s="334">
        <f ca="1">'Income Statement'!X8</f>
        <v>1575000</v>
      </c>
      <c r="S4" s="334">
        <f ca="1">'Income Statement'!Y8</f>
        <v>1919948.1450924932</v>
      </c>
      <c r="T4" s="334">
        <f ca="1">'Income Statement'!Z8</f>
        <v>1925000</v>
      </c>
      <c r="U4" s="334">
        <f ca="1">'Income Statement'!AA8</f>
        <v>1925000</v>
      </c>
      <c r="V4" s="334">
        <f ca="1">'Income Statement'!AB8</f>
        <v>1925000</v>
      </c>
      <c r="W4" s="334">
        <f ca="1">'Income Statement'!AC8</f>
        <v>1925000</v>
      </c>
      <c r="X4" s="334">
        <f ca="1">'Income Statement'!AD8</f>
        <v>1925000</v>
      </c>
      <c r="Y4" s="334">
        <f ca="1">'Income Statement'!AE8</f>
        <v>2100000</v>
      </c>
      <c r="Z4" s="334">
        <f ca="1">'Income Statement'!AF8</f>
        <v>2275000</v>
      </c>
      <c r="AA4" s="334">
        <f ca="1">'Income Statement'!AG8</f>
        <v>2450000</v>
      </c>
      <c r="AB4" s="334">
        <f ca="1">'Income Statement'!AH8</f>
        <v>2765000</v>
      </c>
      <c r="AC4" s="334">
        <f ca="1">'Income Statement'!AI8</f>
        <v>2905000</v>
      </c>
      <c r="AD4" s="334">
        <f ca="1">'Income Statement'!AJ8</f>
        <v>3220000</v>
      </c>
      <c r="AE4" s="334">
        <f ca="1">'Income Statement'!AK8</f>
        <v>3360000</v>
      </c>
      <c r="AF4" s="334">
        <f ca="1">'Income Statement'!AL8</f>
        <v>3605000</v>
      </c>
      <c r="AG4" s="334">
        <f ca="1">'Income Statement'!AM8</f>
        <v>3850000</v>
      </c>
      <c r="AH4" s="334">
        <f ca="1">'Income Statement'!AN8</f>
        <v>4095000</v>
      </c>
      <c r="AI4" s="334">
        <f ca="1">'Income Statement'!AO8</f>
        <v>4270000</v>
      </c>
      <c r="AJ4" s="334">
        <f ca="1">'Income Statement'!AP8</f>
        <v>4620000</v>
      </c>
      <c r="AK4" s="334">
        <f ca="1">'Income Statement'!AQ8</f>
        <v>4795000</v>
      </c>
      <c r="AL4" s="334">
        <f ca="1">'Income Statement'!AR8</f>
        <v>5145000</v>
      </c>
      <c r="AM4" s="334">
        <f ca="1">'Income Statement'!AS8</f>
        <v>5495000</v>
      </c>
      <c r="AN4" s="334">
        <f ca="1">'Income Statement'!AT8</f>
        <v>6009593.9584871242</v>
      </c>
      <c r="AO4" s="334">
        <f ca="1">'Income Statement'!AU8</f>
        <v>6338163.1000329833</v>
      </c>
      <c r="AP4" s="334">
        <f ca="1">'Income Statement'!AV8</f>
        <v>6830051.8549075071</v>
      </c>
      <c r="AQ4" s="334">
        <f ca="1">'Income Statement'!AW8</f>
        <v>7484565.6711759046</v>
      </c>
      <c r="AR4" s="334">
        <f ca="1">'Income Statement'!AX8</f>
        <v>7950968.6966961483</v>
      </c>
      <c r="AS4" s="334">
        <f ca="1">'Income Statement'!AY8</f>
        <v>8578481.323280856</v>
      </c>
      <c r="AT4" s="334">
        <f ca="1">'Income Statement'!AZ8</f>
        <v>9191277.584827438</v>
      </c>
      <c r="AU4" s="334">
        <f ca="1">'Income Statement'!BA8</f>
        <v>9788482.4007330053</v>
      </c>
      <c r="AV4" s="334">
        <f ca="1">'Income Statement'!BB8</f>
        <v>10369168.655394204</v>
      </c>
      <c r="AW4" s="334">
        <f ca="1">'Income Statement'!BC8</f>
        <v>11107354.104045086</v>
      </c>
      <c r="AX4" s="334">
        <f ca="1">'Income Statement'!BD8</f>
        <v>11826998.094606493</v>
      </c>
      <c r="AY4" s="334">
        <f ca="1">'Income Statement'!BE8</f>
        <v>12701998.094606493</v>
      </c>
      <c r="AZ4" s="334">
        <f ca="1">'Income Statement'!BF8</f>
        <v>13524686.011580739</v>
      </c>
      <c r="BA4" s="334">
        <f ca="1">'Income Statement'!BG8</f>
        <v>14325324.294672459</v>
      </c>
      <c r="BB4" s="334">
        <f ca="1">'Income Statement'!BH8</f>
        <v>15277601.804421507</v>
      </c>
      <c r="BC4" s="334">
        <f ca="1">'Income Statement'!BI8</f>
        <v>16205129.4369583</v>
      </c>
      <c r="BD4" s="334">
        <f ca="1">'Income Statement'!BJ8</f>
        <v>17218435.487998791</v>
      </c>
      <c r="BE4" s="334">
        <f ca="1">'Income Statement'!BK8</f>
        <v>18203960.741168205</v>
      </c>
      <c r="BF4" s="334">
        <f ca="1">'Income Statement'!BL8</f>
        <v>19335053.264261369</v>
      </c>
      <c r="BG4" s="334">
        <f ca="1">'Income Statement'!BM8</f>
        <v>20371962.896072499</v>
      </c>
      <c r="BH4" s="334">
        <f ca="1">'Income Statement'!BN8</f>
        <v>21550835.405394897</v>
      </c>
      <c r="BI4" s="334">
        <f ca="1">'Income Statement'!BO8</f>
        <v>22869706.30269666</v>
      </c>
      <c r="BJ4" s="334">
        <f ca="1">'Income Statement'!BP8</f>
        <v>24151494.283819474</v>
      </c>
      <c r="BK4" s="334">
        <f ca="1">'Income Statement'!BQ8</f>
        <v>25568994.283819474</v>
      </c>
      <c r="IR4" s="316"/>
    </row>
    <row r="5" spans="1:252">
      <c r="B5" s="316" t="str">
        <f>'Income Statement'!E9</f>
        <v xml:space="preserve">Variable Operating expense </v>
      </c>
      <c r="C5" s="292"/>
      <c r="D5" s="334">
        <f ca="1">'Income Statement'!J9</f>
        <v>-42000</v>
      </c>
      <c r="E5" s="334">
        <f ca="1">'Income Statement'!K9</f>
        <v>-42000</v>
      </c>
      <c r="F5" s="334">
        <f ca="1">'Income Statement'!L9</f>
        <v>-42000</v>
      </c>
      <c r="G5" s="334">
        <f ca="1">'Income Statement'!M9</f>
        <v>-42000</v>
      </c>
      <c r="H5" s="334">
        <f ca="1">'Income Statement'!N9</f>
        <v>-126000</v>
      </c>
      <c r="I5" s="334">
        <f ca="1">'Income Statement'!O9</f>
        <v>-126000</v>
      </c>
      <c r="J5" s="334">
        <f ca="1">'Income Statement'!P9</f>
        <v>-126000</v>
      </c>
      <c r="K5" s="334">
        <f ca="1">'Income Statement'!Q9</f>
        <v>-210000</v>
      </c>
      <c r="L5" s="334">
        <f ca="1">'Income Statement'!R9</f>
        <v>-210000</v>
      </c>
      <c r="M5" s="334">
        <f ca="1">'Income Statement'!S9</f>
        <v>-210000</v>
      </c>
      <c r="N5" s="334">
        <f ca="1">'Income Statement'!T9</f>
        <v>-210000</v>
      </c>
      <c r="O5" s="334">
        <f ca="1">'Income Statement'!U9</f>
        <v>-210000</v>
      </c>
      <c r="P5" s="334">
        <f ca="1">'Income Statement'!V9</f>
        <v>-222487.24981545203</v>
      </c>
      <c r="Q5" s="334">
        <f ca="1">'Income Statement'!W9</f>
        <v>-235717.0301449683</v>
      </c>
      <c r="R5" s="334">
        <f ca="1">'Income Statement'!X9</f>
        <v>-249733.49415057144</v>
      </c>
      <c r="S5" s="334">
        <f ca="1">'Income Statement'!Y9</f>
        <v>-264583.42047792341</v>
      </c>
      <c r="T5" s="334">
        <f ca="1">'Income Statement'!Z9</f>
        <v>-280316.36937570723</v>
      </c>
      <c r="U5" s="334">
        <f ca="1">'Income Statement'!AA9</f>
        <v>-296984.84809834993</v>
      </c>
      <c r="V5" s="334">
        <f ca="1">'Income Statement'!AB9</f>
        <v>-314644.48614410311</v>
      </c>
      <c r="W5" s="334">
        <f ca="1">'Income Statement'!AC9</f>
        <v>-333354.22091332194</v>
      </c>
      <c r="X5" s="334">
        <f ca="1">'Income Statement'!AD9</f>
        <v>-353176.4944065602</v>
      </c>
      <c r="Y5" s="334">
        <f ca="1">'Income Statement'!AE9</f>
        <v>-374177.46161894262</v>
      </c>
      <c r="Z5" s="334">
        <f ca="1">'Income Statement'!AF9</f>
        <v>-396427.21132631134</v>
      </c>
      <c r="AA5" s="334">
        <f ca="1">'Income Statement'!AG9</f>
        <v>-420000.00000000012</v>
      </c>
      <c r="AB5" s="334">
        <f ca="1">'Income Statement'!AH9</f>
        <v>-482774.49963090406</v>
      </c>
      <c r="AC5" s="334">
        <f ca="1">'Income Statement'!AI9</f>
        <v>-509234.06028993672</v>
      </c>
      <c r="AD5" s="334">
        <f ca="1">'Income Statement'!AJ9</f>
        <v>-537266.98830114293</v>
      </c>
      <c r="AE5" s="334">
        <f ca="1">'Income Statement'!AK9</f>
        <v>-566966.84095584694</v>
      </c>
      <c r="AF5" s="334">
        <f ca="1">'Income Statement'!AL9</f>
        <v>-674032.73875141481</v>
      </c>
      <c r="AG5" s="334">
        <f ca="1">'Income Statement'!AM9</f>
        <v>-707369.69619670033</v>
      </c>
      <c r="AH5" s="334">
        <f ca="1">'Income Statement'!AN9</f>
        <v>-742688.9722882068</v>
      </c>
      <c r="AI5" s="334">
        <f ca="1">'Income Statement'!AO9</f>
        <v>-855708.44182664424</v>
      </c>
      <c r="AJ5" s="334">
        <f ca="1">'Income Statement'!AP9</f>
        <v>-895352.98881312052</v>
      </c>
      <c r="AK5" s="334">
        <f ca="1">'Income Statement'!AQ9</f>
        <v>-937354.92323788558</v>
      </c>
      <c r="AL5" s="334">
        <f ca="1">'Income Statement'!AR9</f>
        <v>-981854.42265262292</v>
      </c>
      <c r="AM5" s="334">
        <f ca="1">'Income Statement'!AS9</f>
        <v>-1029000.0000000005</v>
      </c>
      <c r="AN5" s="334">
        <f ca="1">'Income Statement'!AT9</f>
        <v>-1090187.5240957155</v>
      </c>
      <c r="AO5" s="334">
        <f ca="1">'Income Statement'!AU9</f>
        <v>-1155013.4477103457</v>
      </c>
      <c r="AP5" s="334">
        <f ca="1">'Income Statement'!AV9</f>
        <v>-1223694.121337801</v>
      </c>
      <c r="AQ5" s="334">
        <f ca="1">'Income Statement'!AW9</f>
        <v>-1296458.7603418257</v>
      </c>
      <c r="AR5" s="334">
        <f ca="1">'Income Statement'!AX9</f>
        <v>-1373550.2099409667</v>
      </c>
      <c r="AS5" s="334">
        <f ca="1">'Income Statement'!AY9</f>
        <v>-1455225.7556819161</v>
      </c>
      <c r="AT5" s="334">
        <f ca="1">'Income Statement'!AZ9</f>
        <v>-1541757.9821061066</v>
      </c>
      <c r="AU5" s="334">
        <f ca="1">'Income Statement'!BA9</f>
        <v>-1633435.6824752789</v>
      </c>
      <c r="AV5" s="334">
        <f ca="1">'Income Statement'!BB9</f>
        <v>-1730564.822592146</v>
      </c>
      <c r="AW5" s="334">
        <f ca="1">'Income Statement'!BC9</f>
        <v>-1833469.5619328201</v>
      </c>
      <c r="AX5" s="334">
        <f ca="1">'Income Statement'!BD9</f>
        <v>-1942493.3354989272</v>
      </c>
      <c r="AY5" s="334">
        <f ca="1">'Income Statement'!BE9</f>
        <v>-2058000.0000000023</v>
      </c>
      <c r="AZ5" s="334">
        <f ca="1">'Income Statement'!BF9</f>
        <v>-2180375.0481914324</v>
      </c>
      <c r="BA5" s="334">
        <f ca="1">'Income Statement'!BG9</f>
        <v>-2310026.8954206924</v>
      </c>
      <c r="BB5" s="334">
        <f ca="1">'Income Statement'!BH9</f>
        <v>-2447388.2426756029</v>
      </c>
      <c r="BC5" s="334">
        <f ca="1">'Income Statement'!BI9</f>
        <v>-2592917.5206836523</v>
      </c>
      <c r="BD5" s="334">
        <f ca="1">'Income Statement'!BJ9</f>
        <v>-2747100.4198819343</v>
      </c>
      <c r="BE5" s="334">
        <f ca="1">'Income Statement'!BK9</f>
        <v>-2910451.5113638337</v>
      </c>
      <c r="BF5" s="334">
        <f ca="1">'Income Statement'!BL9</f>
        <v>-3083515.9642122155</v>
      </c>
      <c r="BG5" s="334">
        <f ca="1">'Income Statement'!BM9</f>
        <v>-3266871.36495056</v>
      </c>
      <c r="BH5" s="334">
        <f ca="1">'Income Statement'!BN9</f>
        <v>-3461129.6451842943</v>
      </c>
      <c r="BI5" s="334">
        <f ca="1">'Income Statement'!BO9</f>
        <v>-3666939.1238656417</v>
      </c>
      <c r="BJ5" s="334">
        <f ca="1">'Income Statement'!BP9</f>
        <v>-3884986.6709978567</v>
      </c>
      <c r="BK5" s="334">
        <f ca="1">'Income Statement'!BQ9</f>
        <v>-4116000.000000007</v>
      </c>
      <c r="IR5" s="316"/>
    </row>
    <row r="6" spans="1:252">
      <c r="B6" s="316" t="str">
        <f>'Income Statement'!E10</f>
        <v xml:space="preserve">Fixed operating expense </v>
      </c>
      <c r="C6" s="292"/>
      <c r="D6" s="334">
        <f>'Income Statement'!J10</f>
        <v>-25000</v>
      </c>
      <c r="E6" s="334">
        <f>'Income Statement'!K10</f>
        <v>-25000</v>
      </c>
      <c r="F6" s="334">
        <f>'Income Statement'!L10</f>
        <v>-25000</v>
      </c>
      <c r="G6" s="334">
        <f>'Income Statement'!M10</f>
        <v>-25607.856851345517</v>
      </c>
      <c r="H6" s="334">
        <f>'Income Statement'!N10</f>
        <v>-25607.856851345517</v>
      </c>
      <c r="I6" s="334">
        <f>'Income Statement'!O10</f>
        <v>-25607.856851345517</v>
      </c>
      <c r="J6" s="334">
        <f>'Income Statement'!P10</f>
        <v>-26230.493300760143</v>
      </c>
      <c r="K6" s="334">
        <f>'Income Statement'!Q10</f>
        <v>-26230.493300760143</v>
      </c>
      <c r="L6" s="334">
        <f>'Income Statement'!R10</f>
        <v>-26230.493300760143</v>
      </c>
      <c r="M6" s="334">
        <f>'Income Statement'!S10</f>
        <v>-26868.268703441732</v>
      </c>
      <c r="N6" s="334">
        <f>'Income Statement'!T10</f>
        <v>-26868.268703441732</v>
      </c>
      <c r="O6" s="334">
        <f>'Income Statement'!U10</f>
        <v>-26868.268703441732</v>
      </c>
      <c r="P6" s="334">
        <f>'Income Statement'!V10</f>
        <v>-27500.000000000004</v>
      </c>
      <c r="Q6" s="334">
        <f>'Income Statement'!W10</f>
        <v>-27500.000000000004</v>
      </c>
      <c r="R6" s="334">
        <f>'Income Statement'!X10</f>
        <v>-27500.000000000004</v>
      </c>
      <c r="S6" s="334">
        <f>'Income Statement'!Y10</f>
        <v>-28171.389663808775</v>
      </c>
      <c r="T6" s="334">
        <f>'Income Statement'!Z10</f>
        <v>-28171.389663808775</v>
      </c>
      <c r="U6" s="334">
        <f>'Income Statement'!AA10</f>
        <v>-28171.389663808775</v>
      </c>
      <c r="V6" s="334">
        <f>'Income Statement'!AB10</f>
        <v>-28855.408240598044</v>
      </c>
      <c r="W6" s="334">
        <f>'Income Statement'!AC10</f>
        <v>-28855.408240598044</v>
      </c>
      <c r="X6" s="334">
        <f>'Income Statement'!AD10</f>
        <v>-28855.408240598044</v>
      </c>
      <c r="Y6" s="334">
        <f>'Income Statement'!AE10</f>
        <v>-29558.292610174307</v>
      </c>
      <c r="Z6" s="334">
        <f>'Income Statement'!AF10</f>
        <v>-29558.292610174307</v>
      </c>
      <c r="AA6" s="334">
        <f>'Income Statement'!AG10</f>
        <v>-29558.292610174307</v>
      </c>
      <c r="AB6" s="334">
        <f>'Income Statement'!AH10</f>
        <v>-30252.630710131383</v>
      </c>
      <c r="AC6" s="334">
        <f>'Income Statement'!AI10</f>
        <v>-30252.630710131383</v>
      </c>
      <c r="AD6" s="334">
        <f>'Income Statement'!AJ10</f>
        <v>-30252.630710131383</v>
      </c>
      <c r="AE6" s="334">
        <f>'Income Statement'!AK10</f>
        <v>-30987.522236491855</v>
      </c>
      <c r="AF6" s="334">
        <f>'Income Statement'!AL10</f>
        <v>-30987.522236491855</v>
      </c>
      <c r="AG6" s="334">
        <f>'Income Statement'!AM10</f>
        <v>-30987.522236491855</v>
      </c>
      <c r="AH6" s="334">
        <f>'Income Statement'!AN10</f>
        <v>-31740.265617148605</v>
      </c>
      <c r="AI6" s="334">
        <f>'Income Statement'!AO10</f>
        <v>-31740.265617148605</v>
      </c>
      <c r="AJ6" s="334">
        <f>'Income Statement'!AP10</f>
        <v>-31740.265617148605</v>
      </c>
      <c r="AK6" s="334">
        <f>'Income Statement'!AQ10</f>
        <v>-32513.243252308428</v>
      </c>
      <c r="AL6" s="334">
        <f>'Income Statement'!AR10</f>
        <v>-32513.243252308428</v>
      </c>
      <c r="AM6" s="334">
        <f>'Income Statement'!AS10</f>
        <v>-32513.243252308428</v>
      </c>
      <c r="AN6" s="334">
        <f>'Income Statement'!AT10</f>
        <v>-33277.170807448252</v>
      </c>
      <c r="AO6" s="334">
        <f>'Income Statement'!AU10</f>
        <v>-33277.170807448252</v>
      </c>
      <c r="AP6" s="334">
        <f>'Income Statement'!AV10</f>
        <v>-33277.170807448252</v>
      </c>
      <c r="AQ6" s="334">
        <f>'Income Statement'!AW10</f>
        <v>-34085.720578240354</v>
      </c>
      <c r="AR6" s="334">
        <f>'Income Statement'!AX10</f>
        <v>-34085.720578240354</v>
      </c>
      <c r="AS6" s="334">
        <f>'Income Statement'!AY10</f>
        <v>-34085.720578240354</v>
      </c>
      <c r="AT6" s="334">
        <f>'Income Statement'!AZ10</f>
        <v>-34913.916031522422</v>
      </c>
      <c r="AU6" s="334">
        <f>'Income Statement'!BA10</f>
        <v>-34913.916031522422</v>
      </c>
      <c r="AV6" s="334">
        <f>'Income Statement'!BB10</f>
        <v>-34913.916031522422</v>
      </c>
      <c r="AW6" s="334">
        <f>'Income Statement'!BC10</f>
        <v>-35763.987489903346</v>
      </c>
      <c r="AX6" s="334">
        <f>'Income Statement'!BD10</f>
        <v>-35763.987489903346</v>
      </c>
      <c r="AY6" s="334">
        <f>'Income Statement'!BE10</f>
        <v>-35763.987489903346</v>
      </c>
      <c r="AZ6" s="334">
        <f>'Income Statement'!BF10</f>
        <v>-36604.410559640419</v>
      </c>
      <c r="BA6" s="334">
        <f>'Income Statement'!BG10</f>
        <v>-36604.410559640419</v>
      </c>
      <c r="BB6" s="334">
        <f>'Income Statement'!BH10</f>
        <v>-36604.410559640419</v>
      </c>
      <c r="BC6" s="334">
        <f>'Income Statement'!BI10</f>
        <v>-37493.926945298947</v>
      </c>
      <c r="BD6" s="334">
        <f>'Income Statement'!BJ10</f>
        <v>-37493.926945298947</v>
      </c>
      <c r="BE6" s="334">
        <f>'Income Statement'!BK10</f>
        <v>-37493.926945298947</v>
      </c>
      <c r="BF6" s="334">
        <f>'Income Statement'!BL10</f>
        <v>-38405.059288932411</v>
      </c>
      <c r="BG6" s="334">
        <f>'Income Statement'!BM10</f>
        <v>-38405.059288932411</v>
      </c>
      <c r="BH6" s="334">
        <f>'Income Statement'!BN10</f>
        <v>-38405.059288932411</v>
      </c>
      <c r="BI6" s="334">
        <f>'Income Statement'!BO10</f>
        <v>-39331.82502157487</v>
      </c>
      <c r="BJ6" s="334">
        <f>'Income Statement'!BP10</f>
        <v>-39331.82502157487</v>
      </c>
      <c r="BK6" s="334">
        <f>'Income Statement'!BQ10</f>
        <v>-39331.82502157487</v>
      </c>
      <c r="IR6" s="316"/>
    </row>
    <row r="7" spans="1:252" s="336" customFormat="1">
      <c r="A7" s="316"/>
      <c r="B7" s="327" t="str">
        <f>'Income Statement'!E11</f>
        <v>EBITDA</v>
      </c>
      <c r="C7" s="323"/>
      <c r="D7" s="335">
        <f ca="1">'Income Statement'!J11</f>
        <v>-67000</v>
      </c>
      <c r="E7" s="335">
        <f ca="1">'Income Statement'!K11</f>
        <v>-67000</v>
      </c>
      <c r="F7" s="335">
        <f ca="1">'Income Statement'!L11</f>
        <v>3000</v>
      </c>
      <c r="G7" s="335">
        <f ca="1">'Income Statement'!M11</f>
        <v>37392.143148654483</v>
      </c>
      <c r="H7" s="335">
        <f ca="1">'Income Statement'!N11</f>
        <v>-11607.856851345517</v>
      </c>
      <c r="I7" s="335">
        <f ca="1">'Income Statement'!O11</f>
        <v>23392.143148654483</v>
      </c>
      <c r="J7" s="335">
        <f ca="1">'Income Statement'!P11</f>
        <v>197769.50669923986</v>
      </c>
      <c r="K7" s="335">
        <f ca="1">'Income Statement'!Q11</f>
        <v>218769.50669923986</v>
      </c>
      <c r="L7" s="335">
        <f ca="1">'Income Statement'!R11</f>
        <v>288769.50669923984</v>
      </c>
      <c r="M7" s="335">
        <f ca="1">'Income Statement'!S11</f>
        <v>288131.73129655828</v>
      </c>
      <c r="N7" s="335">
        <f ca="1">'Income Statement'!T11</f>
        <v>638131.73129655828</v>
      </c>
      <c r="O7" s="335">
        <f ca="1">'Income Statement'!U11</f>
        <v>638131.73129655828</v>
      </c>
      <c r="P7" s="335">
        <f ca="1">'Income Statement'!V11</f>
        <v>975012.75018454797</v>
      </c>
      <c r="Q7" s="335">
        <f ca="1">'Income Statement'!W11</f>
        <v>1252189.0113679084</v>
      </c>
      <c r="R7" s="335">
        <f ca="1">'Income Statement'!X11</f>
        <v>1297766.5058494285</v>
      </c>
      <c r="S7" s="335">
        <f ca="1">'Income Statement'!Y11</f>
        <v>1627193.3349507609</v>
      </c>
      <c r="T7" s="335">
        <f ca="1">'Income Statement'!Z11</f>
        <v>1616512.2409604841</v>
      </c>
      <c r="U7" s="335">
        <f ca="1">'Income Statement'!AA11</f>
        <v>1599843.7622378413</v>
      </c>
      <c r="V7" s="335">
        <f ca="1">'Income Statement'!AB11</f>
        <v>1581500.1056152987</v>
      </c>
      <c r="W7" s="335">
        <f ca="1">'Income Statement'!AC11</f>
        <v>1562790.3708460801</v>
      </c>
      <c r="X7" s="335">
        <f ca="1">'Income Statement'!AD11</f>
        <v>1542968.0973528419</v>
      </c>
      <c r="Y7" s="335">
        <f ca="1">'Income Statement'!AE11</f>
        <v>1696264.245770883</v>
      </c>
      <c r="Z7" s="335">
        <f ca="1">'Income Statement'!AF11</f>
        <v>1849014.4960635144</v>
      </c>
      <c r="AA7" s="335">
        <f ca="1">'Income Statement'!AG11</f>
        <v>2000441.7073898257</v>
      </c>
      <c r="AB7" s="335">
        <f ca="1">'Income Statement'!AH11</f>
        <v>2251972.8696589647</v>
      </c>
      <c r="AC7" s="335">
        <f ca="1">'Income Statement'!AI11</f>
        <v>2365513.3089999319</v>
      </c>
      <c r="AD7" s="335">
        <f ca="1">'Income Statement'!AJ11</f>
        <v>2652480.3809887255</v>
      </c>
      <c r="AE7" s="335">
        <f ca="1">'Income Statement'!AK11</f>
        <v>2762045.636807661</v>
      </c>
      <c r="AF7" s="335">
        <f ca="1">'Income Statement'!AL11</f>
        <v>2899979.7390120933</v>
      </c>
      <c r="AG7" s="335">
        <f ca="1">'Income Statement'!AM11</f>
        <v>3111642.7815668075</v>
      </c>
      <c r="AH7" s="335">
        <f ca="1">'Income Statement'!AN11</f>
        <v>3320570.7620946448</v>
      </c>
      <c r="AI7" s="335">
        <f ca="1">'Income Statement'!AO11</f>
        <v>3382551.2925562072</v>
      </c>
      <c r="AJ7" s="335">
        <f ca="1">'Income Statement'!AP11</f>
        <v>3692906.7455697311</v>
      </c>
      <c r="AK7" s="335">
        <f ca="1">'Income Statement'!AQ11</f>
        <v>3825131.8335098061</v>
      </c>
      <c r="AL7" s="335">
        <f ca="1">'Income Statement'!AR11</f>
        <v>4130632.3340950687</v>
      </c>
      <c r="AM7" s="335">
        <f ca="1">'Income Statement'!AS11</f>
        <v>4433486.7567476919</v>
      </c>
      <c r="AN7" s="335">
        <f ca="1">'Income Statement'!AT11</f>
        <v>4886129.2635839609</v>
      </c>
      <c r="AO7" s="335">
        <f ca="1">'Income Statement'!AU11</f>
        <v>5149872.4815151896</v>
      </c>
      <c r="AP7" s="335">
        <f ca="1">'Income Statement'!AV11</f>
        <v>5573080.5627622576</v>
      </c>
      <c r="AQ7" s="335">
        <f ca="1">'Income Statement'!AW11</f>
        <v>6154021.1902558384</v>
      </c>
      <c r="AR7" s="335">
        <f ca="1">'Income Statement'!AX11</f>
        <v>6543332.7661769409</v>
      </c>
      <c r="AS7" s="335">
        <f ca="1">'Income Statement'!AY11</f>
        <v>7089169.8470206996</v>
      </c>
      <c r="AT7" s="335">
        <f ca="1">'Income Statement'!AZ11</f>
        <v>7614605.686689809</v>
      </c>
      <c r="AU7" s="335">
        <f ca="1">'Income Statement'!BA11</f>
        <v>8120132.8022262035</v>
      </c>
      <c r="AV7" s="335">
        <f ca="1">'Income Statement'!BB11</f>
        <v>8603689.9167705346</v>
      </c>
      <c r="AW7" s="335">
        <f ca="1">'Income Statement'!BC11</f>
        <v>9238120.5546223614</v>
      </c>
      <c r="AX7" s="335">
        <f ca="1">'Income Statement'!BD11</f>
        <v>9848740.7716176622</v>
      </c>
      <c r="AY7" s="335">
        <f ca="1">'Income Statement'!BE11</f>
        <v>10608234.107116587</v>
      </c>
      <c r="AZ7" s="335">
        <f ca="1">'Income Statement'!BF11</f>
        <v>11307706.552829666</v>
      </c>
      <c r="BA7" s="335">
        <f ca="1">'Income Statement'!BG11</f>
        <v>11978692.988692125</v>
      </c>
      <c r="BB7" s="335">
        <f ca="1">'Income Statement'!BH11</f>
        <v>12793609.151186263</v>
      </c>
      <c r="BC7" s="335">
        <f ca="1">'Income Statement'!BI11</f>
        <v>13574717.989329349</v>
      </c>
      <c r="BD7" s="335">
        <f ca="1">'Income Statement'!BJ11</f>
        <v>14433841.141171558</v>
      </c>
      <c r="BE7" s="335">
        <f ca="1">'Income Statement'!BK11</f>
        <v>15256015.302859072</v>
      </c>
      <c r="BF7" s="335">
        <f ca="1">'Income Statement'!BL11</f>
        <v>16213132.24076022</v>
      </c>
      <c r="BG7" s="335">
        <f ca="1">'Income Statement'!BM11</f>
        <v>17066686.471833006</v>
      </c>
      <c r="BH7" s="335">
        <f ca="1">'Income Statement'!BN11</f>
        <v>18051300.70092167</v>
      </c>
      <c r="BI7" s="335">
        <f ca="1">'Income Statement'!BO11</f>
        <v>19163435.353809442</v>
      </c>
      <c r="BJ7" s="335">
        <f ca="1">'Income Statement'!BP11</f>
        <v>20227175.78780004</v>
      </c>
      <c r="BK7" s="335">
        <f ca="1">'Income Statement'!BQ11</f>
        <v>21413662.458797891</v>
      </c>
      <c r="BL7" s="316"/>
      <c r="BM7" s="316"/>
      <c r="BN7" s="316"/>
      <c r="BO7" s="316"/>
      <c r="BP7" s="316"/>
      <c r="BQ7" s="316"/>
      <c r="BR7" s="316"/>
      <c r="BS7" s="327"/>
      <c r="BT7" s="327"/>
      <c r="BU7" s="327"/>
      <c r="BV7" s="327"/>
      <c r="BW7" s="327"/>
      <c r="BX7" s="327"/>
      <c r="BY7" s="327"/>
      <c r="BZ7" s="327"/>
      <c r="CA7" s="327"/>
      <c r="CB7" s="327"/>
      <c r="CC7" s="327"/>
      <c r="CD7" s="327"/>
      <c r="CE7" s="327"/>
      <c r="CF7" s="327"/>
      <c r="CG7" s="327"/>
      <c r="CH7" s="327"/>
      <c r="CI7" s="327"/>
      <c r="CJ7" s="327"/>
      <c r="CK7" s="327"/>
      <c r="CL7" s="327"/>
      <c r="CM7" s="327"/>
      <c r="CN7" s="327"/>
      <c r="CO7" s="327"/>
      <c r="CP7" s="327"/>
      <c r="CQ7" s="327"/>
      <c r="CR7" s="327"/>
      <c r="CS7" s="327"/>
      <c r="CT7" s="327"/>
      <c r="CU7" s="327"/>
      <c r="CV7" s="327"/>
      <c r="CW7" s="327"/>
      <c r="CX7" s="327"/>
      <c r="CY7" s="327"/>
      <c r="CZ7" s="327"/>
      <c r="DA7" s="327"/>
      <c r="DB7" s="327"/>
      <c r="DC7" s="327"/>
      <c r="DD7" s="327"/>
      <c r="DE7" s="327"/>
      <c r="DF7" s="327"/>
      <c r="DG7" s="327"/>
      <c r="DH7" s="327"/>
      <c r="DI7" s="327"/>
      <c r="DJ7" s="327"/>
      <c r="DK7" s="327"/>
      <c r="DL7" s="327"/>
      <c r="DM7" s="327"/>
      <c r="DN7" s="327"/>
      <c r="DO7" s="327"/>
      <c r="DP7" s="327"/>
      <c r="DQ7" s="327"/>
      <c r="DR7" s="327"/>
      <c r="DS7" s="327"/>
      <c r="DT7" s="327"/>
      <c r="DU7" s="327"/>
      <c r="DV7" s="327"/>
      <c r="DW7" s="327"/>
      <c r="DX7" s="327"/>
      <c r="DY7" s="327"/>
      <c r="DZ7" s="327"/>
      <c r="EA7" s="327"/>
      <c r="EB7" s="327"/>
      <c r="EC7" s="327"/>
      <c r="ED7" s="327"/>
      <c r="EE7" s="327"/>
      <c r="EF7" s="327"/>
      <c r="EG7" s="327"/>
      <c r="EH7" s="327"/>
      <c r="EI7" s="327"/>
      <c r="EJ7" s="327"/>
      <c r="EK7" s="327"/>
      <c r="EL7" s="327"/>
      <c r="EM7" s="327"/>
      <c r="EN7" s="327"/>
      <c r="EO7" s="327"/>
      <c r="EP7" s="327"/>
      <c r="EQ7" s="327"/>
      <c r="ER7" s="327"/>
      <c r="ES7" s="327"/>
      <c r="ET7" s="327"/>
      <c r="EU7" s="327"/>
      <c r="EV7" s="327"/>
      <c r="EW7" s="327"/>
      <c r="EX7" s="327"/>
      <c r="EY7" s="327"/>
      <c r="EZ7" s="327"/>
      <c r="FA7" s="327"/>
      <c r="FB7" s="327"/>
      <c r="FC7" s="327"/>
      <c r="FD7" s="327"/>
      <c r="FE7" s="327"/>
      <c r="FF7" s="327"/>
      <c r="FG7" s="327"/>
      <c r="FH7" s="327"/>
      <c r="FI7" s="327"/>
      <c r="FJ7" s="327"/>
      <c r="FK7" s="327"/>
      <c r="FL7" s="327"/>
      <c r="FM7" s="327"/>
      <c r="FN7" s="327"/>
      <c r="FO7" s="327"/>
      <c r="FP7" s="327"/>
      <c r="FQ7" s="327"/>
      <c r="FR7" s="327"/>
      <c r="FS7" s="327"/>
      <c r="FT7" s="327"/>
      <c r="FU7" s="327"/>
      <c r="FV7" s="327"/>
      <c r="FW7" s="327"/>
      <c r="FX7" s="327"/>
      <c r="FY7" s="327"/>
      <c r="FZ7" s="327"/>
      <c r="GA7" s="327"/>
      <c r="GB7" s="327"/>
      <c r="GC7" s="327"/>
      <c r="GD7" s="327"/>
      <c r="GE7" s="327"/>
      <c r="GF7" s="327"/>
      <c r="GG7" s="327"/>
      <c r="GH7" s="327"/>
      <c r="GI7" s="327"/>
      <c r="GJ7" s="327"/>
      <c r="GK7" s="327"/>
      <c r="GL7" s="327"/>
      <c r="GM7" s="327"/>
      <c r="GN7" s="327"/>
      <c r="GO7" s="327"/>
      <c r="GP7" s="327"/>
      <c r="GQ7" s="327"/>
      <c r="GR7" s="327"/>
      <c r="GS7" s="327"/>
      <c r="GT7" s="327"/>
      <c r="GU7" s="327"/>
      <c r="GV7" s="327"/>
      <c r="GW7" s="327"/>
      <c r="GX7" s="327"/>
      <c r="GY7" s="327"/>
      <c r="GZ7" s="327"/>
      <c r="HA7" s="327"/>
      <c r="HB7" s="327"/>
      <c r="HC7" s="327"/>
      <c r="HD7" s="327"/>
      <c r="HE7" s="327"/>
      <c r="HF7" s="327"/>
      <c r="HG7" s="327"/>
      <c r="HH7" s="327"/>
      <c r="HI7" s="327"/>
      <c r="HJ7" s="327"/>
      <c r="HK7" s="327"/>
      <c r="HL7" s="327"/>
      <c r="HM7" s="327"/>
      <c r="HN7" s="327"/>
      <c r="HO7" s="327"/>
      <c r="HP7" s="327"/>
      <c r="HQ7" s="327"/>
      <c r="HR7" s="327"/>
      <c r="HS7" s="327"/>
      <c r="HT7" s="327"/>
      <c r="HU7" s="327"/>
      <c r="HV7" s="327"/>
      <c r="HW7" s="327"/>
      <c r="HX7" s="327"/>
      <c r="HY7" s="327"/>
      <c r="HZ7" s="327"/>
      <c r="IA7" s="327"/>
      <c r="IB7" s="327"/>
      <c r="IC7" s="327"/>
      <c r="ID7" s="327"/>
      <c r="IE7" s="327"/>
      <c r="IF7" s="327"/>
      <c r="IG7" s="327"/>
      <c r="IH7" s="327"/>
      <c r="II7" s="327"/>
      <c r="IJ7" s="327"/>
      <c r="IK7" s="327"/>
      <c r="IL7" s="327"/>
      <c r="IM7" s="327"/>
      <c r="IN7" s="327"/>
      <c r="IO7" s="327"/>
      <c r="IP7" s="327"/>
      <c r="IQ7" s="327"/>
      <c r="IR7" s="327"/>
    </row>
    <row r="8" spans="1:252">
      <c r="A8" s="329"/>
      <c r="C8" s="292"/>
      <c r="D8" s="334"/>
      <c r="E8" s="334"/>
      <c r="F8" s="334"/>
      <c r="G8" s="334"/>
      <c r="H8" s="334"/>
      <c r="I8" s="334"/>
      <c r="J8" s="334"/>
      <c r="K8" s="334"/>
      <c r="L8" s="334"/>
      <c r="M8" s="334"/>
      <c r="N8" s="334"/>
      <c r="O8" s="334"/>
      <c r="P8" s="334"/>
      <c r="Q8" s="334"/>
      <c r="R8" s="334"/>
      <c r="S8" s="334"/>
      <c r="T8" s="334"/>
      <c r="U8" s="334"/>
      <c r="V8" s="334"/>
      <c r="W8" s="334"/>
      <c r="X8" s="334"/>
      <c r="Y8" s="334"/>
      <c r="Z8" s="334"/>
      <c r="AA8" s="334"/>
      <c r="AB8" s="334"/>
      <c r="AC8" s="334"/>
      <c r="AD8" s="334"/>
      <c r="AE8" s="334"/>
      <c r="AF8" s="334"/>
      <c r="AG8" s="334"/>
      <c r="AH8" s="334"/>
      <c r="AI8" s="334"/>
      <c r="AJ8" s="334"/>
      <c r="AK8" s="334"/>
      <c r="AL8" s="334"/>
      <c r="AM8" s="334"/>
      <c r="AN8" s="334"/>
      <c r="AO8" s="334"/>
      <c r="AP8" s="334"/>
      <c r="AQ8" s="334"/>
      <c r="AR8" s="334"/>
      <c r="AS8" s="334"/>
      <c r="AT8" s="334"/>
      <c r="AU8" s="334"/>
      <c r="AV8" s="334"/>
      <c r="AW8" s="334"/>
      <c r="AX8" s="334"/>
      <c r="AY8" s="334"/>
      <c r="AZ8" s="334"/>
      <c r="BA8" s="334"/>
      <c r="BB8" s="334"/>
      <c r="BC8" s="334"/>
      <c r="BD8" s="334"/>
      <c r="BE8" s="334"/>
      <c r="BF8" s="334"/>
      <c r="BG8" s="334"/>
      <c r="BH8" s="334"/>
      <c r="BI8" s="334"/>
      <c r="BJ8" s="334"/>
      <c r="BK8" s="334"/>
      <c r="BL8" s="329"/>
      <c r="BM8" s="329"/>
      <c r="BN8" s="329"/>
      <c r="BO8" s="329"/>
      <c r="BP8" s="329"/>
      <c r="BQ8" s="329"/>
      <c r="BR8" s="329"/>
      <c r="BS8" s="329"/>
      <c r="BT8" s="329"/>
      <c r="BU8" s="329"/>
      <c r="BV8" s="329"/>
      <c r="BW8" s="329"/>
      <c r="BX8" s="329"/>
      <c r="BY8" s="329"/>
      <c r="BZ8" s="329"/>
      <c r="CA8" s="329"/>
      <c r="CB8" s="329"/>
      <c r="CC8" s="329"/>
      <c r="CD8" s="329"/>
      <c r="CE8" s="329"/>
      <c r="CF8" s="329"/>
      <c r="CG8" s="329"/>
      <c r="CH8" s="329"/>
      <c r="CI8" s="329"/>
      <c r="CJ8" s="329"/>
      <c r="CK8" s="329"/>
      <c r="CL8" s="329"/>
      <c r="CM8" s="329"/>
      <c r="CN8" s="329"/>
      <c r="CO8" s="329"/>
      <c r="CP8" s="329"/>
      <c r="CQ8" s="329"/>
      <c r="CR8" s="329"/>
      <c r="CS8" s="329"/>
      <c r="CT8" s="329"/>
      <c r="CU8" s="329"/>
      <c r="CV8" s="329"/>
      <c r="CW8" s="329"/>
      <c r="CX8" s="329"/>
      <c r="CY8" s="329"/>
      <c r="CZ8" s="329"/>
      <c r="DA8" s="329"/>
      <c r="DB8" s="329"/>
      <c r="DC8" s="329"/>
      <c r="DD8" s="329"/>
      <c r="DE8" s="329"/>
      <c r="DF8" s="329"/>
      <c r="DG8" s="329"/>
      <c r="DH8" s="329"/>
      <c r="DI8" s="329"/>
      <c r="DJ8" s="329"/>
      <c r="DK8" s="329"/>
      <c r="DL8" s="329"/>
      <c r="DM8" s="329"/>
      <c r="DN8" s="329"/>
      <c r="DO8" s="329"/>
      <c r="DP8" s="329"/>
      <c r="DQ8" s="329"/>
      <c r="DR8" s="329"/>
      <c r="DS8" s="329"/>
      <c r="DT8" s="329"/>
      <c r="DU8" s="329"/>
      <c r="DV8" s="329"/>
      <c r="DW8" s="329"/>
      <c r="DX8" s="329"/>
      <c r="DY8" s="329"/>
      <c r="DZ8" s="329"/>
      <c r="EA8" s="329"/>
      <c r="EB8" s="329"/>
      <c r="EC8" s="329"/>
      <c r="ED8" s="329"/>
      <c r="EE8" s="329"/>
      <c r="EF8" s="329"/>
      <c r="EG8" s="329"/>
      <c r="EH8" s="329"/>
      <c r="EI8" s="329"/>
      <c r="EJ8" s="329"/>
      <c r="EK8" s="329"/>
      <c r="EL8" s="329"/>
      <c r="EM8" s="329"/>
      <c r="EN8" s="329"/>
      <c r="EO8" s="329"/>
      <c r="EP8" s="329"/>
      <c r="EQ8" s="329"/>
      <c r="ER8" s="329"/>
      <c r="ES8" s="329"/>
      <c r="ET8" s="329"/>
      <c r="EU8" s="329"/>
      <c r="EV8" s="329"/>
      <c r="EW8" s="329"/>
      <c r="EX8" s="329"/>
      <c r="EY8" s="329"/>
      <c r="EZ8" s="329"/>
      <c r="FA8" s="329"/>
      <c r="FB8" s="329"/>
      <c r="FC8" s="329"/>
      <c r="FD8" s="329"/>
      <c r="FE8" s="329"/>
      <c r="FF8" s="329"/>
      <c r="FG8" s="329"/>
      <c r="FH8" s="329"/>
      <c r="FI8" s="329"/>
      <c r="FJ8" s="329"/>
      <c r="FK8" s="329"/>
      <c r="FL8" s="329"/>
      <c r="FM8" s="329"/>
      <c r="FN8" s="329"/>
      <c r="FO8" s="329"/>
      <c r="FP8" s="329"/>
      <c r="FQ8" s="329"/>
      <c r="FR8" s="329"/>
      <c r="FS8" s="329"/>
      <c r="FT8" s="329"/>
      <c r="FU8" s="329"/>
      <c r="FV8" s="329"/>
      <c r="FW8" s="329"/>
      <c r="FX8" s="329"/>
      <c r="FY8" s="329"/>
      <c r="FZ8" s="329"/>
      <c r="GA8" s="329"/>
      <c r="GB8" s="329"/>
      <c r="GC8" s="329"/>
      <c r="GD8" s="329"/>
      <c r="GE8" s="329"/>
      <c r="GF8" s="329"/>
      <c r="GG8" s="329"/>
      <c r="GH8" s="329"/>
      <c r="GI8" s="329"/>
      <c r="GJ8" s="329"/>
      <c r="GK8" s="329"/>
      <c r="GL8" s="329"/>
      <c r="GM8" s="329"/>
      <c r="GN8" s="329"/>
      <c r="GO8" s="329"/>
      <c r="GP8" s="329"/>
      <c r="GQ8" s="329"/>
      <c r="GR8" s="329"/>
      <c r="GS8" s="329"/>
      <c r="GT8" s="329"/>
      <c r="GU8" s="329"/>
      <c r="GV8" s="329"/>
      <c r="GW8" s="329"/>
      <c r="GX8" s="329"/>
      <c r="GY8" s="329"/>
      <c r="GZ8" s="329"/>
      <c r="HA8" s="329"/>
      <c r="HB8" s="329"/>
      <c r="HC8" s="329"/>
      <c r="HD8" s="329"/>
      <c r="HE8" s="329"/>
      <c r="HF8" s="329"/>
      <c r="HG8" s="329"/>
      <c r="HH8" s="329"/>
      <c r="HI8" s="329"/>
      <c r="HJ8" s="329"/>
      <c r="HK8" s="329"/>
      <c r="HL8" s="329"/>
      <c r="HM8" s="329"/>
      <c r="HN8" s="329"/>
      <c r="HO8" s="329"/>
      <c r="HP8" s="329"/>
      <c r="HQ8" s="329"/>
      <c r="HR8" s="329"/>
      <c r="HS8" s="329"/>
      <c r="HT8" s="329"/>
      <c r="HU8" s="329"/>
      <c r="HV8" s="329"/>
      <c r="HW8" s="329"/>
      <c r="HX8" s="329"/>
      <c r="HY8" s="329"/>
      <c r="HZ8" s="329"/>
      <c r="IA8" s="329"/>
      <c r="IB8" s="329"/>
      <c r="IC8" s="329"/>
      <c r="ID8" s="329"/>
      <c r="IE8" s="329"/>
      <c r="IF8" s="329"/>
      <c r="IG8" s="329"/>
      <c r="IH8" s="329"/>
      <c r="II8" s="329"/>
      <c r="IJ8" s="329"/>
      <c r="IK8" s="329"/>
      <c r="IL8" s="329"/>
      <c r="IM8" s="329"/>
      <c r="IN8" s="329"/>
      <c r="IO8" s="329"/>
      <c r="IP8" s="329"/>
      <c r="IQ8" s="329"/>
      <c r="IR8" s="329"/>
    </row>
    <row r="9" spans="1:252">
      <c r="B9" s="316" t="str">
        <f>'Income Statement'!E13</f>
        <v xml:space="preserve">Depreciation this period </v>
      </c>
      <c r="C9" s="292"/>
      <c r="D9" s="334">
        <f ca="1">'Income Statement'!J13</f>
        <v>0</v>
      </c>
      <c r="E9" s="334">
        <f ca="1">'Income Statement'!K13</f>
        <v>-7291.666666666667</v>
      </c>
      <c r="F9" s="334">
        <f ca="1">'Income Statement'!L13</f>
        <v>7291.666666666667</v>
      </c>
      <c r="G9" s="334">
        <f ca="1">'Income Statement'!M13</f>
        <v>7291.666666666667</v>
      </c>
      <c r="H9" s="334">
        <f ca="1">'Income Statement'!N13</f>
        <v>7291.666666666667</v>
      </c>
      <c r="I9" s="334">
        <f ca="1">'Income Statement'!O13</f>
        <v>-21875</v>
      </c>
      <c r="J9" s="334">
        <f ca="1">'Income Statement'!P13</f>
        <v>-7291.666666666667</v>
      </c>
      <c r="K9" s="334">
        <f ca="1">'Income Statement'!Q13</f>
        <v>-21875</v>
      </c>
      <c r="L9" s="334">
        <f ca="1">'Income Statement'!R13</f>
        <v>-7291.666666666667</v>
      </c>
      <c r="M9" s="334">
        <f ca="1">'Income Statement'!S13</f>
        <v>-36458.333333333336</v>
      </c>
      <c r="N9" s="334">
        <f ca="1">'Income Statement'!T13</f>
        <v>-36458.333333333336</v>
      </c>
      <c r="O9" s="334">
        <f ca="1">'Income Statement'!U13</f>
        <v>-51041.666666666664</v>
      </c>
      <c r="P9" s="334">
        <f ca="1">'Income Statement'!V13</f>
        <v>-65625</v>
      </c>
      <c r="Q9" s="334">
        <f ca="1">'Income Statement'!W13</f>
        <v>-65625</v>
      </c>
      <c r="R9" s="334">
        <f ca="1">'Income Statement'!X13</f>
        <v>-72916.666666666672</v>
      </c>
      <c r="S9" s="334">
        <f ca="1">'Income Statement'!Y13</f>
        <v>-72916.666666666672</v>
      </c>
      <c r="T9" s="334">
        <f ca="1">'Income Statement'!Z13</f>
        <v>-72916.666666666672</v>
      </c>
      <c r="U9" s="334">
        <f ca="1">'Income Statement'!AA13</f>
        <v>-65625</v>
      </c>
      <c r="V9" s="334">
        <f ca="1">'Income Statement'!AB13</f>
        <v>-72916.666666666672</v>
      </c>
      <c r="W9" s="334">
        <f ca="1">'Income Statement'!AC13</f>
        <v>-65625</v>
      </c>
      <c r="X9" s="334">
        <f ca="1">'Income Statement'!AD13</f>
        <v>-80208.333333333328</v>
      </c>
      <c r="Y9" s="334">
        <f ca="1">'Income Statement'!AE13</f>
        <v>-80208.333333333328</v>
      </c>
      <c r="Z9" s="334">
        <f ca="1">'Income Statement'!AF13</f>
        <v>-87500</v>
      </c>
      <c r="AA9" s="334">
        <f ca="1">'Income Statement'!AG13</f>
        <v>-102083.33333333333</v>
      </c>
      <c r="AB9" s="334">
        <f ca="1">'Income Statement'!AH13</f>
        <v>-109375</v>
      </c>
      <c r="AC9" s="334">
        <f ca="1">'Income Statement'!AI13</f>
        <v>-115208.33333333333</v>
      </c>
      <c r="AD9" s="334">
        <f ca="1">'Income Statement'!AJ13</f>
        <v>-128333.33333333333</v>
      </c>
      <c r="AE9" s="334">
        <f ca="1">'Income Statement'!AK13</f>
        <v>-134166.66666666666</v>
      </c>
      <c r="AF9" s="334">
        <f ca="1">'Income Statement'!AL13</f>
        <v>-147291.66666666666</v>
      </c>
      <c r="AG9" s="334">
        <f ca="1">'Income Statement'!AM13</f>
        <v>-150208.33333333334</v>
      </c>
      <c r="AH9" s="334">
        <f ca="1">'Income Statement'!AN13</f>
        <v>-167708.33333333334</v>
      </c>
      <c r="AI9" s="334">
        <f ca="1">'Income Statement'!AO13</f>
        <v>-177916.66666666666</v>
      </c>
      <c r="AJ9" s="334">
        <f ca="1">'Income Statement'!AP13</f>
        <v>-177916.66666666666</v>
      </c>
      <c r="AK9" s="334">
        <f ca="1">'Income Statement'!AQ13</f>
        <v>-199791.66666666666</v>
      </c>
      <c r="AL9" s="334">
        <f ca="1">'Income Statement'!AR13</f>
        <v>-207083.33333333334</v>
      </c>
      <c r="AM9" s="334">
        <f ca="1">'Income Statement'!AS13</f>
        <v>-228958.33333333334</v>
      </c>
      <c r="AN9" s="334">
        <f ca="1">'Income Statement'!AT13</f>
        <v>-243541.66666666666</v>
      </c>
      <c r="AO9" s="334">
        <f ca="1">'Income Statement'!AU13</f>
        <v>-264983.08160363015</v>
      </c>
      <c r="AP9" s="334">
        <f ca="1">'Income Statement'!AV13</f>
        <v>-285965.12916804099</v>
      </c>
      <c r="AQ9" s="334">
        <f ca="1">'Income Statement'!AW13</f>
        <v>-306460.49395447946</v>
      </c>
      <c r="AR9" s="334">
        <f ca="1">'Income Statement'!AX13</f>
        <v>-326440.23629899602</v>
      </c>
      <c r="AS9" s="334">
        <f ca="1">'Income Statement'!AY13</f>
        <v>-353165.36236233957</v>
      </c>
      <c r="AT9" s="334">
        <f ca="1">'Income Statement'!AZ13</f>
        <v>-379311.72180336906</v>
      </c>
      <c r="AU9" s="334">
        <f ca="1">'Income Statement'!BA13</f>
        <v>-397553.23270114325</v>
      </c>
      <c r="AV9" s="334">
        <f ca="1">'Income Statement'!BB13</f>
        <v>-429728.43336387508</v>
      </c>
      <c r="AW9" s="334">
        <f ca="1">'Income Statement'!BC13</f>
        <v>-453923.69397475832</v>
      </c>
      <c r="AX9" s="334">
        <f ca="1">'Income Statement'!BD13</f>
        <v>-491973.08766854508</v>
      </c>
      <c r="AY9" s="334">
        <f ca="1">'Income Statement'!BE13</f>
        <v>-521958.25394193706</v>
      </c>
      <c r="AZ9" s="334">
        <f ca="1">'Income Statement'!BF13</f>
        <v>-558416.58727527037</v>
      </c>
      <c r="BA9" s="334">
        <f ca="1">'Income Statement'!BG13</f>
        <v>-592695.25048253068</v>
      </c>
      <c r="BB9" s="334">
        <f ca="1">'Income Statement'!BH13</f>
        <v>-626055.17894468561</v>
      </c>
      <c r="BC9" s="334">
        <f ca="1">'Income Statement'!BI13</f>
        <v>-673025.0751842293</v>
      </c>
      <c r="BD9" s="334">
        <f ca="1">'Income Statement'!BJ13</f>
        <v>-711672.05987326242</v>
      </c>
      <c r="BE9" s="334">
        <f ca="1">'Income Statement'!BK13</f>
        <v>-753893.14533328277</v>
      </c>
      <c r="BF9" s="334">
        <f ca="1">'Income Statement'!BL13</f>
        <v>-794956.69754867523</v>
      </c>
      <c r="BG9" s="334">
        <f ca="1">'Income Statement'!BM13</f>
        <v>-849377.2193442235</v>
      </c>
      <c r="BH9" s="334">
        <f ca="1">'Income Statement'!BN13</f>
        <v>-892581.78733635379</v>
      </c>
      <c r="BI9" s="334">
        <f ca="1">'Income Statement'!BO13</f>
        <v>-948993.14189145376</v>
      </c>
      <c r="BJ9" s="334">
        <f ca="1">'Income Statement'!BP13</f>
        <v>-996654.42927902716</v>
      </c>
      <c r="BK9" s="334">
        <f ca="1">'Income Statement'!BQ13</f>
        <v>-1057353.9284924779</v>
      </c>
      <c r="IR9" s="316"/>
    </row>
    <row r="10" spans="1:252" s="336" customFormat="1">
      <c r="A10" s="316"/>
      <c r="B10" s="327" t="str">
        <f>'Income Statement'!E14</f>
        <v>EBIT</v>
      </c>
      <c r="C10" s="323"/>
      <c r="D10" s="335">
        <f ca="1">'Income Statement'!J14</f>
        <v>-67000</v>
      </c>
      <c r="E10" s="335">
        <f ca="1">'Income Statement'!K14</f>
        <v>-74291.666666666672</v>
      </c>
      <c r="F10" s="335">
        <f ca="1">'Income Statement'!L14</f>
        <v>10291.666666666668</v>
      </c>
      <c r="G10" s="335">
        <f ca="1">'Income Statement'!M14</f>
        <v>44683.809815321147</v>
      </c>
      <c r="H10" s="335">
        <f ca="1">'Income Statement'!N14</f>
        <v>-4316.1901846788505</v>
      </c>
      <c r="I10" s="335">
        <f ca="1">'Income Statement'!O14</f>
        <v>1517.1431486544825</v>
      </c>
      <c r="J10" s="335">
        <f ca="1">'Income Statement'!P14</f>
        <v>190477.84003257321</v>
      </c>
      <c r="K10" s="335">
        <f ca="1">'Income Statement'!Q14</f>
        <v>196894.50669923986</v>
      </c>
      <c r="L10" s="335">
        <f ca="1">'Income Statement'!R14</f>
        <v>281477.84003257315</v>
      </c>
      <c r="M10" s="335">
        <f ca="1">'Income Statement'!S14</f>
        <v>251673.39796322494</v>
      </c>
      <c r="N10" s="335">
        <f ca="1">'Income Statement'!T14</f>
        <v>601673.39796322491</v>
      </c>
      <c r="O10" s="335">
        <f ca="1">'Income Statement'!U14</f>
        <v>587090.06462989165</v>
      </c>
      <c r="P10" s="335">
        <f ca="1">'Income Statement'!V14</f>
        <v>909387.75018454797</v>
      </c>
      <c r="Q10" s="335">
        <f ca="1">'Income Statement'!W14</f>
        <v>1186564.0113679084</v>
      </c>
      <c r="R10" s="335">
        <f ca="1">'Income Statement'!X14</f>
        <v>1224849.8391827617</v>
      </c>
      <c r="S10" s="335">
        <f ca="1">'Income Statement'!Y14</f>
        <v>1554276.6682840942</v>
      </c>
      <c r="T10" s="335">
        <f ca="1">'Income Statement'!Z14</f>
        <v>1543595.5742938174</v>
      </c>
      <c r="U10" s="335">
        <f ca="1">'Income Statement'!AA14</f>
        <v>1534218.7622378413</v>
      </c>
      <c r="V10" s="335">
        <f ca="1">'Income Statement'!AB14</f>
        <v>1508583.438948632</v>
      </c>
      <c r="W10" s="335">
        <f ca="1">'Income Statement'!AC14</f>
        <v>1497165.3708460801</v>
      </c>
      <c r="X10" s="335">
        <f ca="1">'Income Statement'!AD14</f>
        <v>1462759.7640195086</v>
      </c>
      <c r="Y10" s="335">
        <f ca="1">'Income Statement'!AE14</f>
        <v>1616055.9124375498</v>
      </c>
      <c r="Z10" s="335">
        <f ca="1">'Income Statement'!AF14</f>
        <v>1761514.4960635144</v>
      </c>
      <c r="AA10" s="335">
        <f ca="1">'Income Statement'!AG14</f>
        <v>1898358.3740564925</v>
      </c>
      <c r="AB10" s="335">
        <f ca="1">'Income Statement'!AH14</f>
        <v>2142597.8696589647</v>
      </c>
      <c r="AC10" s="335">
        <f ca="1">'Income Statement'!AI14</f>
        <v>2250304.9756665984</v>
      </c>
      <c r="AD10" s="335">
        <f ca="1">'Income Statement'!AJ14</f>
        <v>2524147.047655392</v>
      </c>
      <c r="AE10" s="335">
        <f ca="1">'Income Statement'!AK14</f>
        <v>2627878.9701409945</v>
      </c>
      <c r="AF10" s="335">
        <f ca="1">'Income Statement'!AL14</f>
        <v>2752688.0723454268</v>
      </c>
      <c r="AG10" s="335">
        <f ca="1">'Income Statement'!AM14</f>
        <v>2961434.448233474</v>
      </c>
      <c r="AH10" s="335">
        <f ca="1">'Income Statement'!AN14</f>
        <v>3152862.4287613113</v>
      </c>
      <c r="AI10" s="335">
        <f ca="1">'Income Statement'!AO14</f>
        <v>3204634.6258895406</v>
      </c>
      <c r="AJ10" s="335">
        <f ca="1">'Income Statement'!AP14</f>
        <v>3514990.0789030646</v>
      </c>
      <c r="AK10" s="335">
        <f ca="1">'Income Statement'!AQ14</f>
        <v>3625340.1668431396</v>
      </c>
      <c r="AL10" s="335">
        <f ca="1">'Income Statement'!AR14</f>
        <v>3923549.0007617353</v>
      </c>
      <c r="AM10" s="335">
        <f ca="1">'Income Statement'!AS14</f>
        <v>4204528.4234143589</v>
      </c>
      <c r="AN10" s="335">
        <f ca="1">'Income Statement'!AT14</f>
        <v>4642587.596917294</v>
      </c>
      <c r="AO10" s="335">
        <f ca="1">'Income Statement'!AU14</f>
        <v>4884889.3999115592</v>
      </c>
      <c r="AP10" s="335">
        <f ca="1">'Income Statement'!AV14</f>
        <v>5287115.4335942166</v>
      </c>
      <c r="AQ10" s="335">
        <f ca="1">'Income Statement'!AW14</f>
        <v>5847560.6963013588</v>
      </c>
      <c r="AR10" s="335">
        <f ca="1">'Income Statement'!AX14</f>
        <v>6216892.5298779448</v>
      </c>
      <c r="AS10" s="335">
        <f ca="1">'Income Statement'!AY14</f>
        <v>6736004.4846583605</v>
      </c>
      <c r="AT10" s="335">
        <f ca="1">'Income Statement'!AZ14</f>
        <v>7235293.96488644</v>
      </c>
      <c r="AU10" s="335">
        <f ca="1">'Income Statement'!BA14</f>
        <v>7722579.5695250602</v>
      </c>
      <c r="AV10" s="335">
        <f ca="1">'Income Statement'!BB14</f>
        <v>8173961.4834066592</v>
      </c>
      <c r="AW10" s="335">
        <f ca="1">'Income Statement'!BC14</f>
        <v>8784196.8606476039</v>
      </c>
      <c r="AX10" s="335">
        <f ca="1">'Income Statement'!BD14</f>
        <v>9356767.6839491166</v>
      </c>
      <c r="AY10" s="335">
        <f ca="1">'Income Statement'!BE14</f>
        <v>10086275.853174651</v>
      </c>
      <c r="AZ10" s="335">
        <f ca="1">'Income Statement'!BF14</f>
        <v>10749289.965554396</v>
      </c>
      <c r="BA10" s="335">
        <f ca="1">'Income Statement'!BG14</f>
        <v>11385997.738209594</v>
      </c>
      <c r="BB10" s="335">
        <f ca="1">'Income Statement'!BH14</f>
        <v>12167553.972241577</v>
      </c>
      <c r="BC10" s="335">
        <f ca="1">'Income Statement'!BI14</f>
        <v>12901692.914145119</v>
      </c>
      <c r="BD10" s="335">
        <f ca="1">'Income Statement'!BJ14</f>
        <v>13722169.081298295</v>
      </c>
      <c r="BE10" s="335">
        <f ca="1">'Income Statement'!BK14</f>
        <v>14502122.157525789</v>
      </c>
      <c r="BF10" s="335">
        <f ca="1">'Income Statement'!BL14</f>
        <v>15418175.543211546</v>
      </c>
      <c r="BG10" s="335">
        <f ca="1">'Income Statement'!BM14</f>
        <v>16217309.252488783</v>
      </c>
      <c r="BH10" s="335">
        <f ca="1">'Income Statement'!BN14</f>
        <v>17158718.913585316</v>
      </c>
      <c r="BI10" s="335">
        <f ca="1">'Income Statement'!BO14</f>
        <v>18214442.211917989</v>
      </c>
      <c r="BJ10" s="335">
        <f ca="1">'Income Statement'!BP14</f>
        <v>19230521.358521014</v>
      </c>
      <c r="BK10" s="335">
        <f ca="1">'Income Statement'!BQ14</f>
        <v>20356308.530305412</v>
      </c>
      <c r="BL10" s="316"/>
      <c r="BM10" s="316"/>
      <c r="BN10" s="316"/>
      <c r="BO10" s="316"/>
      <c r="BP10" s="316"/>
      <c r="BQ10" s="316"/>
      <c r="BR10" s="316"/>
      <c r="BS10" s="327"/>
      <c r="BT10" s="327"/>
      <c r="BU10" s="327"/>
      <c r="BV10" s="327"/>
      <c r="BW10" s="327"/>
      <c r="BX10" s="327"/>
      <c r="BY10" s="327"/>
      <c r="BZ10" s="327"/>
      <c r="CA10" s="327"/>
      <c r="CB10" s="327"/>
      <c r="CC10" s="327"/>
      <c r="CD10" s="327"/>
      <c r="CE10" s="327"/>
      <c r="CF10" s="327"/>
      <c r="CG10" s="327"/>
      <c r="CH10" s="327"/>
      <c r="CI10" s="327"/>
      <c r="CJ10" s="327"/>
      <c r="CK10" s="327"/>
      <c r="CL10" s="327"/>
      <c r="CM10" s="327"/>
      <c r="CN10" s="327"/>
      <c r="CO10" s="327"/>
      <c r="CP10" s="327"/>
      <c r="CQ10" s="327"/>
      <c r="CR10" s="327"/>
      <c r="CS10" s="327"/>
      <c r="CT10" s="327"/>
      <c r="CU10" s="327"/>
      <c r="CV10" s="327"/>
      <c r="CW10" s="327"/>
      <c r="CX10" s="327"/>
      <c r="CY10" s="327"/>
      <c r="CZ10" s="327"/>
      <c r="DA10" s="327"/>
      <c r="DB10" s="327"/>
      <c r="DC10" s="327"/>
      <c r="DD10" s="327"/>
      <c r="DE10" s="327"/>
      <c r="DF10" s="327"/>
      <c r="DG10" s="327"/>
      <c r="DH10" s="327"/>
      <c r="DI10" s="327"/>
      <c r="DJ10" s="327"/>
      <c r="DK10" s="327"/>
      <c r="DL10" s="327"/>
      <c r="DM10" s="327"/>
      <c r="DN10" s="327"/>
      <c r="DO10" s="327"/>
      <c r="DP10" s="327"/>
      <c r="DQ10" s="327"/>
      <c r="DR10" s="327"/>
      <c r="DS10" s="327"/>
      <c r="DT10" s="327"/>
      <c r="DU10" s="327"/>
      <c r="DV10" s="327"/>
      <c r="DW10" s="327"/>
      <c r="DX10" s="327"/>
      <c r="DY10" s="327"/>
      <c r="DZ10" s="327"/>
      <c r="EA10" s="327"/>
      <c r="EB10" s="327"/>
      <c r="EC10" s="327"/>
      <c r="ED10" s="327"/>
      <c r="EE10" s="327"/>
      <c r="EF10" s="327"/>
      <c r="EG10" s="327"/>
      <c r="EH10" s="327"/>
      <c r="EI10" s="327"/>
      <c r="EJ10" s="327"/>
      <c r="EK10" s="327"/>
      <c r="EL10" s="327"/>
      <c r="EM10" s="327"/>
      <c r="EN10" s="327"/>
      <c r="EO10" s="327"/>
      <c r="EP10" s="327"/>
      <c r="EQ10" s="327"/>
      <c r="ER10" s="327"/>
      <c r="ES10" s="327"/>
      <c r="ET10" s="327"/>
      <c r="EU10" s="327"/>
      <c r="EV10" s="327"/>
      <c r="EW10" s="327"/>
      <c r="EX10" s="327"/>
      <c r="EY10" s="327"/>
      <c r="EZ10" s="327"/>
      <c r="FA10" s="327"/>
      <c r="FB10" s="327"/>
      <c r="FC10" s="327"/>
      <c r="FD10" s="327"/>
      <c r="FE10" s="327"/>
      <c r="FF10" s="327"/>
      <c r="FG10" s="327"/>
      <c r="FH10" s="327"/>
      <c r="FI10" s="327"/>
      <c r="FJ10" s="327"/>
      <c r="FK10" s="327"/>
      <c r="FL10" s="327"/>
      <c r="FM10" s="327"/>
      <c r="FN10" s="327"/>
      <c r="FO10" s="327"/>
      <c r="FP10" s="327"/>
      <c r="FQ10" s="327"/>
      <c r="FR10" s="327"/>
      <c r="FS10" s="327"/>
      <c r="FT10" s="327"/>
      <c r="FU10" s="327"/>
      <c r="FV10" s="327"/>
      <c r="FW10" s="327"/>
      <c r="FX10" s="327"/>
      <c r="FY10" s="327"/>
      <c r="FZ10" s="327"/>
      <c r="GA10" s="327"/>
      <c r="GB10" s="327"/>
      <c r="GC10" s="327"/>
      <c r="GD10" s="327"/>
      <c r="GE10" s="327"/>
      <c r="GF10" s="327"/>
      <c r="GG10" s="327"/>
      <c r="GH10" s="327"/>
      <c r="GI10" s="327"/>
      <c r="GJ10" s="327"/>
      <c r="GK10" s="327"/>
      <c r="GL10" s="327"/>
      <c r="GM10" s="327"/>
      <c r="GN10" s="327"/>
      <c r="GO10" s="327"/>
      <c r="GP10" s="327"/>
      <c r="GQ10" s="327"/>
      <c r="GR10" s="327"/>
      <c r="GS10" s="327"/>
      <c r="GT10" s="327"/>
      <c r="GU10" s="327"/>
      <c r="GV10" s="327"/>
      <c r="GW10" s="327"/>
      <c r="GX10" s="327"/>
      <c r="GY10" s="327"/>
      <c r="GZ10" s="327"/>
      <c r="HA10" s="327"/>
      <c r="HB10" s="327"/>
      <c r="HC10" s="327"/>
      <c r="HD10" s="327"/>
      <c r="HE10" s="327"/>
      <c r="HF10" s="327"/>
      <c r="HG10" s="327"/>
      <c r="HH10" s="327"/>
      <c r="HI10" s="327"/>
      <c r="HJ10" s="327"/>
      <c r="HK10" s="327"/>
      <c r="HL10" s="327"/>
      <c r="HM10" s="327"/>
      <c r="HN10" s="327"/>
      <c r="HO10" s="327"/>
      <c r="HP10" s="327"/>
      <c r="HQ10" s="327"/>
      <c r="HR10" s="327"/>
      <c r="HS10" s="327"/>
      <c r="HT10" s="327"/>
      <c r="HU10" s="327"/>
      <c r="HV10" s="327"/>
      <c r="HW10" s="327"/>
      <c r="HX10" s="327"/>
      <c r="HY10" s="327"/>
      <c r="HZ10" s="327"/>
      <c r="IA10" s="327"/>
      <c r="IB10" s="327"/>
      <c r="IC10" s="327"/>
      <c r="ID10" s="327"/>
      <c r="IE10" s="327"/>
      <c r="IF10" s="327"/>
      <c r="IG10" s="327"/>
      <c r="IH10" s="327"/>
      <c r="II10" s="327"/>
      <c r="IJ10" s="327"/>
      <c r="IK10" s="327"/>
      <c r="IL10" s="327"/>
      <c r="IM10" s="327"/>
      <c r="IN10" s="327"/>
      <c r="IO10" s="327"/>
      <c r="IP10" s="327"/>
      <c r="IQ10" s="327"/>
      <c r="IR10" s="327"/>
    </row>
    <row r="11" spans="1:252">
      <c r="A11" s="329"/>
      <c r="C11" s="292"/>
      <c r="D11" s="334"/>
      <c r="E11" s="334"/>
      <c r="F11" s="334"/>
      <c r="G11" s="334"/>
      <c r="H11" s="334"/>
      <c r="I11" s="334"/>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c r="AK11" s="334"/>
      <c r="AL11" s="334"/>
      <c r="AM11" s="334"/>
      <c r="AN11" s="334"/>
      <c r="AO11" s="334"/>
      <c r="AP11" s="334"/>
      <c r="AQ11" s="334"/>
      <c r="AR11" s="334"/>
      <c r="AS11" s="334"/>
      <c r="AT11" s="334"/>
      <c r="AU11" s="334"/>
      <c r="AV11" s="334"/>
      <c r="AW11" s="334"/>
      <c r="AX11" s="334"/>
      <c r="AY11" s="334"/>
      <c r="AZ11" s="334"/>
      <c r="BA11" s="334"/>
      <c r="BB11" s="334"/>
      <c r="BC11" s="334"/>
      <c r="BD11" s="334"/>
      <c r="BE11" s="334"/>
      <c r="BF11" s="334"/>
      <c r="BG11" s="334"/>
      <c r="BH11" s="334"/>
      <c r="BI11" s="334"/>
      <c r="BJ11" s="334"/>
      <c r="BK11" s="334"/>
      <c r="BL11" s="329"/>
      <c r="BM11" s="329"/>
      <c r="BN11" s="329"/>
      <c r="BO11" s="329"/>
      <c r="BP11" s="329"/>
      <c r="BQ11" s="329"/>
      <c r="BR11" s="329"/>
      <c r="BS11" s="329"/>
      <c r="BT11" s="329"/>
      <c r="BU11" s="329"/>
      <c r="BV11" s="329"/>
      <c r="BW11" s="329"/>
      <c r="BX11" s="329"/>
      <c r="BY11" s="329"/>
      <c r="BZ11" s="329"/>
      <c r="CA11" s="329"/>
      <c r="CB11" s="329"/>
      <c r="CC11" s="329"/>
      <c r="CD11" s="329"/>
      <c r="CE11" s="329"/>
      <c r="CF11" s="329"/>
      <c r="CG11" s="329"/>
      <c r="CH11" s="329"/>
      <c r="CI11" s="329"/>
      <c r="CJ11" s="329"/>
      <c r="CK11" s="329"/>
      <c r="CL11" s="329"/>
      <c r="CM11" s="329"/>
      <c r="CN11" s="329"/>
      <c r="CO11" s="329"/>
      <c r="CP11" s="329"/>
      <c r="CQ11" s="329"/>
      <c r="CR11" s="329"/>
      <c r="CS11" s="329"/>
      <c r="CT11" s="329"/>
      <c r="CU11" s="329"/>
      <c r="CV11" s="329"/>
      <c r="CW11" s="329"/>
      <c r="CX11" s="329"/>
      <c r="CY11" s="329"/>
      <c r="CZ11" s="329"/>
      <c r="DA11" s="329"/>
      <c r="DB11" s="329"/>
      <c r="DC11" s="329"/>
      <c r="DD11" s="329"/>
      <c r="DE11" s="329"/>
      <c r="DF11" s="329"/>
      <c r="DG11" s="329"/>
      <c r="DH11" s="329"/>
      <c r="DI11" s="329"/>
      <c r="DJ11" s="329"/>
      <c r="DK11" s="329"/>
      <c r="DL11" s="329"/>
      <c r="DM11" s="329"/>
      <c r="DN11" s="329"/>
      <c r="DO11" s="329"/>
      <c r="DP11" s="329"/>
      <c r="DQ11" s="329"/>
      <c r="DR11" s="329"/>
      <c r="DS11" s="329"/>
      <c r="DT11" s="329"/>
      <c r="DU11" s="329"/>
      <c r="DV11" s="329"/>
      <c r="DW11" s="329"/>
      <c r="DX11" s="329"/>
      <c r="DY11" s="329"/>
      <c r="DZ11" s="329"/>
      <c r="EA11" s="329"/>
      <c r="EB11" s="329"/>
      <c r="EC11" s="329"/>
      <c r="ED11" s="329"/>
      <c r="EE11" s="329"/>
      <c r="EF11" s="329"/>
      <c r="EG11" s="329"/>
      <c r="EH11" s="329"/>
      <c r="EI11" s="329"/>
      <c r="EJ11" s="329"/>
      <c r="EK11" s="329"/>
      <c r="EL11" s="329"/>
      <c r="EM11" s="329"/>
      <c r="EN11" s="329"/>
      <c r="EO11" s="329"/>
      <c r="EP11" s="329"/>
      <c r="EQ11" s="329"/>
      <c r="ER11" s="329"/>
      <c r="ES11" s="329"/>
      <c r="ET11" s="329"/>
      <c r="EU11" s="329"/>
      <c r="EV11" s="329"/>
      <c r="EW11" s="329"/>
      <c r="EX11" s="329"/>
      <c r="EY11" s="329"/>
      <c r="EZ11" s="329"/>
      <c r="FA11" s="329"/>
      <c r="FB11" s="329"/>
      <c r="FC11" s="329"/>
      <c r="FD11" s="329"/>
      <c r="FE11" s="329"/>
      <c r="FF11" s="329"/>
      <c r="FG11" s="329"/>
      <c r="FH11" s="329"/>
      <c r="FI11" s="329"/>
      <c r="FJ11" s="329"/>
      <c r="FK11" s="329"/>
      <c r="FL11" s="329"/>
      <c r="FM11" s="329"/>
      <c r="FN11" s="329"/>
      <c r="FO11" s="329"/>
      <c r="FP11" s="329"/>
      <c r="FQ11" s="329"/>
      <c r="FR11" s="329"/>
      <c r="FS11" s="329"/>
      <c r="FT11" s="329"/>
      <c r="FU11" s="329"/>
      <c r="FV11" s="329"/>
      <c r="FW11" s="329"/>
      <c r="FX11" s="329"/>
      <c r="FY11" s="329"/>
      <c r="FZ11" s="329"/>
      <c r="GA11" s="329"/>
      <c r="GB11" s="329"/>
      <c r="GC11" s="329"/>
      <c r="GD11" s="329"/>
      <c r="GE11" s="329"/>
      <c r="GF11" s="329"/>
      <c r="GG11" s="329"/>
      <c r="GH11" s="329"/>
      <c r="GI11" s="329"/>
      <c r="GJ11" s="329"/>
      <c r="GK11" s="329"/>
      <c r="GL11" s="329"/>
      <c r="GM11" s="329"/>
      <c r="GN11" s="329"/>
      <c r="GO11" s="329"/>
      <c r="GP11" s="329"/>
      <c r="GQ11" s="329"/>
      <c r="GR11" s="329"/>
      <c r="GS11" s="329"/>
      <c r="GT11" s="329"/>
      <c r="GU11" s="329"/>
      <c r="GV11" s="329"/>
      <c r="GW11" s="329"/>
      <c r="GX11" s="329"/>
      <c r="GY11" s="329"/>
      <c r="GZ11" s="329"/>
      <c r="HA11" s="329"/>
      <c r="HB11" s="329"/>
      <c r="HC11" s="329"/>
      <c r="HD11" s="329"/>
      <c r="HE11" s="329"/>
      <c r="HF11" s="329"/>
      <c r="HG11" s="329"/>
      <c r="HH11" s="329"/>
      <c r="HI11" s="329"/>
      <c r="HJ11" s="329"/>
      <c r="HK11" s="329"/>
      <c r="HL11" s="329"/>
      <c r="HM11" s="329"/>
      <c r="HN11" s="329"/>
      <c r="HO11" s="329"/>
      <c r="HP11" s="329"/>
      <c r="HQ11" s="329"/>
      <c r="HR11" s="329"/>
      <c r="HS11" s="329"/>
      <c r="HT11" s="329"/>
      <c r="HU11" s="329"/>
      <c r="HV11" s="329"/>
      <c r="HW11" s="329"/>
      <c r="HX11" s="329"/>
      <c r="HY11" s="329"/>
      <c r="HZ11" s="329"/>
      <c r="IA11" s="329"/>
      <c r="IB11" s="329"/>
      <c r="IC11" s="329"/>
      <c r="ID11" s="329"/>
      <c r="IE11" s="329"/>
      <c r="IF11" s="329"/>
      <c r="IG11" s="329"/>
      <c r="IH11" s="329"/>
      <c r="II11" s="329"/>
      <c r="IJ11" s="329"/>
      <c r="IK11" s="329"/>
      <c r="IL11" s="329"/>
      <c r="IM11" s="329"/>
      <c r="IN11" s="329"/>
      <c r="IO11" s="329"/>
      <c r="IP11" s="329"/>
      <c r="IQ11" s="329"/>
      <c r="IR11" s="329"/>
    </row>
    <row r="12" spans="1:252">
      <c r="B12" s="316" t="str">
        <f>'Income Statement'!E16</f>
        <v xml:space="preserve">Supply Chain Finance interest </v>
      </c>
      <c r="C12" s="292"/>
      <c r="D12" s="334">
        <f>'Income Statement'!J16</f>
        <v>0</v>
      </c>
      <c r="E12" s="334">
        <f ca="1">'Income Statement'!K16</f>
        <v>0</v>
      </c>
      <c r="F12" s="334">
        <f ca="1">'Income Statement'!L16</f>
        <v>0</v>
      </c>
      <c r="G12" s="334">
        <f ca="1">'Income Statement'!M16</f>
        <v>0</v>
      </c>
      <c r="H12" s="334">
        <f ca="1">'Income Statement'!N16</f>
        <v>0</v>
      </c>
      <c r="I12" s="334">
        <f ca="1">'Income Statement'!O16</f>
        <v>0</v>
      </c>
      <c r="J12" s="334">
        <f ca="1">'Income Statement'!P16</f>
        <v>0</v>
      </c>
      <c r="K12" s="334">
        <f ca="1">'Income Statement'!Q16</f>
        <v>0</v>
      </c>
      <c r="L12" s="334">
        <f ca="1">'Income Statement'!R16</f>
        <v>0</v>
      </c>
      <c r="M12" s="334">
        <f ca="1">'Income Statement'!S16</f>
        <v>0</v>
      </c>
      <c r="N12" s="334">
        <f ca="1">'Income Statement'!T16</f>
        <v>0</v>
      </c>
      <c r="O12" s="334">
        <f ca="1">'Income Statement'!U16</f>
        <v>0</v>
      </c>
      <c r="P12" s="334">
        <f ca="1">'Income Statement'!V16</f>
        <v>0</v>
      </c>
      <c r="Q12" s="334">
        <f ca="1">'Income Statement'!W16</f>
        <v>0</v>
      </c>
      <c r="R12" s="334">
        <f ca="1">'Income Statement'!X16</f>
        <v>0</v>
      </c>
      <c r="S12" s="334">
        <f ca="1">'Income Statement'!Y16</f>
        <v>0</v>
      </c>
      <c r="T12" s="334">
        <f ca="1">'Income Statement'!Z16</f>
        <v>0</v>
      </c>
      <c r="U12" s="334">
        <f ca="1">'Income Statement'!AA16</f>
        <v>0</v>
      </c>
      <c r="V12" s="334">
        <f ca="1">'Income Statement'!AB16</f>
        <v>0</v>
      </c>
      <c r="W12" s="334">
        <f ca="1">'Income Statement'!AC16</f>
        <v>0</v>
      </c>
      <c r="X12" s="334">
        <f ca="1">'Income Statement'!AD16</f>
        <v>0</v>
      </c>
      <c r="Y12" s="334">
        <f ca="1">'Income Statement'!AE16</f>
        <v>0</v>
      </c>
      <c r="Z12" s="334">
        <f ca="1">'Income Statement'!AF16</f>
        <v>0</v>
      </c>
      <c r="AA12" s="334">
        <f ca="1">'Income Statement'!AG16</f>
        <v>0</v>
      </c>
      <c r="AB12" s="334">
        <f ca="1">'Income Statement'!AH16</f>
        <v>0</v>
      </c>
      <c r="AC12" s="334">
        <f ca="1">'Income Statement'!AI16</f>
        <v>0</v>
      </c>
      <c r="AD12" s="334">
        <f ca="1">'Income Statement'!AJ16</f>
        <v>0</v>
      </c>
      <c r="AE12" s="334">
        <f ca="1">'Income Statement'!AK16</f>
        <v>0</v>
      </c>
      <c r="AF12" s="334">
        <f ca="1">'Income Statement'!AL16</f>
        <v>0</v>
      </c>
      <c r="AG12" s="334">
        <f ca="1">'Income Statement'!AM16</f>
        <v>0</v>
      </c>
      <c r="AH12" s="334">
        <f ca="1">'Income Statement'!AN16</f>
        <v>0</v>
      </c>
      <c r="AI12" s="334">
        <f ca="1">'Income Statement'!AO16</f>
        <v>0</v>
      </c>
      <c r="AJ12" s="334">
        <f ca="1">'Income Statement'!AP16</f>
        <v>0</v>
      </c>
      <c r="AK12" s="334">
        <f ca="1">'Income Statement'!AQ16</f>
        <v>0</v>
      </c>
      <c r="AL12" s="334">
        <f ca="1">'Income Statement'!AR16</f>
        <v>0</v>
      </c>
      <c r="AM12" s="334">
        <f ca="1">'Income Statement'!AS16</f>
        <v>0</v>
      </c>
      <c r="AN12" s="334">
        <f ca="1">'Income Statement'!AT16</f>
        <v>0</v>
      </c>
      <c r="AO12" s="334">
        <f ca="1">'Income Statement'!AU16</f>
        <v>0</v>
      </c>
      <c r="AP12" s="334">
        <f ca="1">'Income Statement'!AV16</f>
        <v>0</v>
      </c>
      <c r="AQ12" s="334">
        <f ca="1">'Income Statement'!AW16</f>
        <v>0</v>
      </c>
      <c r="AR12" s="334">
        <f ca="1">'Income Statement'!AX16</f>
        <v>0</v>
      </c>
      <c r="AS12" s="334">
        <f ca="1">'Income Statement'!AY16</f>
        <v>0</v>
      </c>
      <c r="AT12" s="334">
        <f ca="1">'Income Statement'!AZ16</f>
        <v>0</v>
      </c>
      <c r="AU12" s="334">
        <f ca="1">'Income Statement'!BA16</f>
        <v>0</v>
      </c>
      <c r="AV12" s="334">
        <f ca="1">'Income Statement'!BB16</f>
        <v>0</v>
      </c>
      <c r="AW12" s="334">
        <f ca="1">'Income Statement'!BC16</f>
        <v>0</v>
      </c>
      <c r="AX12" s="334">
        <f ca="1">'Income Statement'!BD16</f>
        <v>0</v>
      </c>
      <c r="AY12" s="334">
        <f ca="1">'Income Statement'!BE16</f>
        <v>0</v>
      </c>
      <c r="AZ12" s="334">
        <f ca="1">'Income Statement'!BF16</f>
        <v>0</v>
      </c>
      <c r="BA12" s="334">
        <f ca="1">'Income Statement'!BG16</f>
        <v>0</v>
      </c>
      <c r="BB12" s="334">
        <f ca="1">'Income Statement'!BH16</f>
        <v>0</v>
      </c>
      <c r="BC12" s="334">
        <f ca="1">'Income Statement'!BI16</f>
        <v>0</v>
      </c>
      <c r="BD12" s="334">
        <f ca="1">'Income Statement'!BJ16</f>
        <v>0</v>
      </c>
      <c r="BE12" s="334">
        <f ca="1">'Income Statement'!BK16</f>
        <v>0</v>
      </c>
      <c r="BF12" s="334">
        <f ca="1">'Income Statement'!BL16</f>
        <v>0</v>
      </c>
      <c r="BG12" s="334">
        <f ca="1">'Income Statement'!BM16</f>
        <v>0</v>
      </c>
      <c r="BH12" s="334">
        <f ca="1">'Income Statement'!BN16</f>
        <v>0</v>
      </c>
      <c r="BI12" s="334">
        <f ca="1">'Income Statement'!BO16</f>
        <v>0</v>
      </c>
      <c r="BJ12" s="334">
        <f ca="1">'Income Statement'!BP16</f>
        <v>0</v>
      </c>
      <c r="BK12" s="334">
        <f ca="1">'Income Statement'!BQ16</f>
        <v>0</v>
      </c>
      <c r="IR12" s="316"/>
    </row>
    <row r="13" spans="1:252">
      <c r="B13" s="316" t="str">
        <f>'Income Statement'!E17</f>
        <v xml:space="preserve">Invoice finance interest </v>
      </c>
      <c r="C13" s="292"/>
      <c r="D13" s="334">
        <f>'Income Statement'!J17</f>
        <v>0</v>
      </c>
      <c r="E13" s="334">
        <f ca="1">'Income Statement'!K17</f>
        <v>0</v>
      </c>
      <c r="F13" s="334">
        <f ca="1">'Income Statement'!L17</f>
        <v>0</v>
      </c>
      <c r="G13" s="334">
        <f ca="1">'Income Statement'!M17</f>
        <v>0</v>
      </c>
      <c r="H13" s="334">
        <f ca="1">'Income Statement'!N17</f>
        <v>0</v>
      </c>
      <c r="I13" s="334">
        <f ca="1">'Income Statement'!O17</f>
        <v>0</v>
      </c>
      <c r="J13" s="334">
        <f ca="1">'Income Statement'!P17</f>
        <v>0</v>
      </c>
      <c r="K13" s="334">
        <f ca="1">'Income Statement'!Q17</f>
        <v>0</v>
      </c>
      <c r="L13" s="334">
        <f ca="1">'Income Statement'!R17</f>
        <v>0</v>
      </c>
      <c r="M13" s="334">
        <f ca="1">'Income Statement'!S17</f>
        <v>0</v>
      </c>
      <c r="N13" s="334">
        <f ca="1">'Income Statement'!T17</f>
        <v>0</v>
      </c>
      <c r="O13" s="334">
        <f ca="1">'Income Statement'!U17</f>
        <v>0</v>
      </c>
      <c r="P13" s="334">
        <f ca="1">'Income Statement'!V17</f>
        <v>0</v>
      </c>
      <c r="Q13" s="334">
        <f ca="1">'Income Statement'!W17</f>
        <v>0</v>
      </c>
      <c r="R13" s="334">
        <f ca="1">'Income Statement'!X17</f>
        <v>0</v>
      </c>
      <c r="S13" s="334">
        <f ca="1">'Income Statement'!Y17</f>
        <v>0</v>
      </c>
      <c r="T13" s="334">
        <f ca="1">'Income Statement'!Z17</f>
        <v>0</v>
      </c>
      <c r="U13" s="334">
        <f ca="1">'Income Statement'!AA17</f>
        <v>0</v>
      </c>
      <c r="V13" s="334">
        <f ca="1">'Income Statement'!AB17</f>
        <v>0</v>
      </c>
      <c r="W13" s="334">
        <f ca="1">'Income Statement'!AC17</f>
        <v>0</v>
      </c>
      <c r="X13" s="334">
        <f ca="1">'Income Statement'!AD17</f>
        <v>0</v>
      </c>
      <c r="Y13" s="334">
        <f ca="1">'Income Statement'!AE17</f>
        <v>0</v>
      </c>
      <c r="Z13" s="334">
        <f ca="1">'Income Statement'!AF17</f>
        <v>0</v>
      </c>
      <c r="AA13" s="334">
        <f ca="1">'Income Statement'!AG17</f>
        <v>0</v>
      </c>
      <c r="AB13" s="334">
        <f ca="1">'Income Statement'!AH17</f>
        <v>0</v>
      </c>
      <c r="AC13" s="334">
        <f ca="1">'Income Statement'!AI17</f>
        <v>0</v>
      </c>
      <c r="AD13" s="334">
        <f ca="1">'Income Statement'!AJ17</f>
        <v>0</v>
      </c>
      <c r="AE13" s="334">
        <f ca="1">'Income Statement'!AK17</f>
        <v>0</v>
      </c>
      <c r="AF13" s="334">
        <f ca="1">'Income Statement'!AL17</f>
        <v>0</v>
      </c>
      <c r="AG13" s="334">
        <f ca="1">'Income Statement'!AM17</f>
        <v>0</v>
      </c>
      <c r="AH13" s="334">
        <f ca="1">'Income Statement'!AN17</f>
        <v>0</v>
      </c>
      <c r="AI13" s="334">
        <f ca="1">'Income Statement'!AO17</f>
        <v>0</v>
      </c>
      <c r="AJ13" s="334">
        <f ca="1">'Income Statement'!AP17</f>
        <v>0</v>
      </c>
      <c r="AK13" s="334">
        <f ca="1">'Income Statement'!AQ17</f>
        <v>0</v>
      </c>
      <c r="AL13" s="334">
        <f ca="1">'Income Statement'!AR17</f>
        <v>0</v>
      </c>
      <c r="AM13" s="334">
        <f ca="1">'Income Statement'!AS17</f>
        <v>0</v>
      </c>
      <c r="AN13" s="334">
        <f ca="1">'Income Statement'!AT17</f>
        <v>0</v>
      </c>
      <c r="AO13" s="334">
        <f ca="1">'Income Statement'!AU17</f>
        <v>0</v>
      </c>
      <c r="AP13" s="334">
        <f ca="1">'Income Statement'!AV17</f>
        <v>0</v>
      </c>
      <c r="AQ13" s="334">
        <f ca="1">'Income Statement'!AW17</f>
        <v>0</v>
      </c>
      <c r="AR13" s="334">
        <f ca="1">'Income Statement'!AX17</f>
        <v>0</v>
      </c>
      <c r="AS13" s="334">
        <f ca="1">'Income Statement'!AY17</f>
        <v>0</v>
      </c>
      <c r="AT13" s="334">
        <f ca="1">'Income Statement'!AZ17</f>
        <v>0</v>
      </c>
      <c r="AU13" s="334">
        <f ca="1">'Income Statement'!BA17</f>
        <v>0</v>
      </c>
      <c r="AV13" s="334">
        <f ca="1">'Income Statement'!BB17</f>
        <v>0</v>
      </c>
      <c r="AW13" s="334">
        <f ca="1">'Income Statement'!BC17</f>
        <v>0</v>
      </c>
      <c r="AX13" s="334">
        <f ca="1">'Income Statement'!BD17</f>
        <v>0</v>
      </c>
      <c r="AY13" s="334">
        <f ca="1">'Income Statement'!BE17</f>
        <v>0</v>
      </c>
      <c r="AZ13" s="334">
        <f ca="1">'Income Statement'!BF17</f>
        <v>0</v>
      </c>
      <c r="BA13" s="334">
        <f ca="1">'Income Statement'!BG17</f>
        <v>0</v>
      </c>
      <c r="BB13" s="334">
        <f ca="1">'Income Statement'!BH17</f>
        <v>0</v>
      </c>
      <c r="BC13" s="334">
        <f ca="1">'Income Statement'!BI17</f>
        <v>0</v>
      </c>
      <c r="BD13" s="334">
        <f ca="1">'Income Statement'!BJ17</f>
        <v>0</v>
      </c>
      <c r="BE13" s="334">
        <f ca="1">'Income Statement'!BK17</f>
        <v>0</v>
      </c>
      <c r="BF13" s="334">
        <f ca="1">'Income Statement'!BL17</f>
        <v>0</v>
      </c>
      <c r="BG13" s="334">
        <f ca="1">'Income Statement'!BM17</f>
        <v>0</v>
      </c>
      <c r="BH13" s="334">
        <f ca="1">'Income Statement'!BN17</f>
        <v>0</v>
      </c>
      <c r="BI13" s="334">
        <f ca="1">'Income Statement'!BO17</f>
        <v>0</v>
      </c>
      <c r="BJ13" s="334">
        <f ca="1">'Income Statement'!BP17</f>
        <v>0</v>
      </c>
      <c r="BK13" s="334">
        <f ca="1">'Income Statement'!BQ17</f>
        <v>0</v>
      </c>
      <c r="IR13" s="316"/>
    </row>
    <row r="14" spans="1:252">
      <c r="B14" s="316" t="str">
        <f>'Income Statement'!E18</f>
        <v xml:space="preserve">Asset Finance interest </v>
      </c>
      <c r="C14" s="292"/>
      <c r="D14" s="334">
        <f>'Income Statement'!J18</f>
        <v>0</v>
      </c>
      <c r="E14" s="334">
        <f ca="1">'Income Statement'!K18</f>
        <v>0</v>
      </c>
      <c r="F14" s="334">
        <f ca="1">'Income Statement'!L18</f>
        <v>0</v>
      </c>
      <c r="G14" s="334">
        <f ca="1">'Income Statement'!M18</f>
        <v>0</v>
      </c>
      <c r="H14" s="334">
        <f ca="1">'Income Statement'!N18</f>
        <v>0</v>
      </c>
      <c r="I14" s="334">
        <f ca="1">'Income Statement'!O18</f>
        <v>0</v>
      </c>
      <c r="J14" s="334">
        <f ca="1">'Income Statement'!P18</f>
        <v>0</v>
      </c>
      <c r="K14" s="334">
        <f ca="1">'Income Statement'!Q18</f>
        <v>0</v>
      </c>
      <c r="L14" s="334">
        <f ca="1">'Income Statement'!R18</f>
        <v>0</v>
      </c>
      <c r="M14" s="334">
        <f ca="1">'Income Statement'!S18</f>
        <v>0</v>
      </c>
      <c r="N14" s="334">
        <f ca="1">'Income Statement'!T18</f>
        <v>0</v>
      </c>
      <c r="O14" s="334">
        <f ca="1">'Income Statement'!U18</f>
        <v>0</v>
      </c>
      <c r="P14" s="334">
        <f ca="1">'Income Statement'!V18</f>
        <v>0</v>
      </c>
      <c r="Q14" s="334">
        <f ca="1">'Income Statement'!W18</f>
        <v>0</v>
      </c>
      <c r="R14" s="334">
        <f ca="1">'Income Statement'!X18</f>
        <v>0</v>
      </c>
      <c r="S14" s="334">
        <f ca="1">'Income Statement'!Y18</f>
        <v>0</v>
      </c>
      <c r="T14" s="334">
        <f ca="1">'Income Statement'!Z18</f>
        <v>0</v>
      </c>
      <c r="U14" s="334">
        <f ca="1">'Income Statement'!AA18</f>
        <v>0</v>
      </c>
      <c r="V14" s="334">
        <f ca="1">'Income Statement'!AB18</f>
        <v>0</v>
      </c>
      <c r="W14" s="334">
        <f ca="1">'Income Statement'!AC18</f>
        <v>0</v>
      </c>
      <c r="X14" s="334">
        <f ca="1">'Income Statement'!AD18</f>
        <v>0</v>
      </c>
      <c r="Y14" s="334">
        <f ca="1">'Income Statement'!AE18</f>
        <v>0</v>
      </c>
      <c r="Z14" s="334">
        <f ca="1">'Income Statement'!AF18</f>
        <v>0</v>
      </c>
      <c r="AA14" s="334">
        <f ca="1">'Income Statement'!AG18</f>
        <v>0</v>
      </c>
      <c r="AB14" s="334">
        <f ca="1">'Income Statement'!AH18</f>
        <v>0</v>
      </c>
      <c r="AC14" s="334">
        <f ca="1">'Income Statement'!AI18</f>
        <v>0</v>
      </c>
      <c r="AD14" s="334">
        <f ca="1">'Income Statement'!AJ18</f>
        <v>0</v>
      </c>
      <c r="AE14" s="334">
        <f ca="1">'Income Statement'!AK18</f>
        <v>0</v>
      </c>
      <c r="AF14" s="334">
        <f ca="1">'Income Statement'!AL18</f>
        <v>0</v>
      </c>
      <c r="AG14" s="334">
        <f ca="1">'Income Statement'!AM18</f>
        <v>0</v>
      </c>
      <c r="AH14" s="334">
        <f ca="1">'Income Statement'!AN18</f>
        <v>0</v>
      </c>
      <c r="AI14" s="334">
        <f ca="1">'Income Statement'!AO18</f>
        <v>0</v>
      </c>
      <c r="AJ14" s="334">
        <f ca="1">'Income Statement'!AP18</f>
        <v>0</v>
      </c>
      <c r="AK14" s="334">
        <f ca="1">'Income Statement'!AQ18</f>
        <v>0</v>
      </c>
      <c r="AL14" s="334">
        <f ca="1">'Income Statement'!AR18</f>
        <v>0</v>
      </c>
      <c r="AM14" s="334">
        <f ca="1">'Income Statement'!AS18</f>
        <v>0</v>
      </c>
      <c r="AN14" s="334">
        <f ca="1">'Income Statement'!AT18</f>
        <v>0</v>
      </c>
      <c r="AO14" s="334">
        <f ca="1">'Income Statement'!AU18</f>
        <v>0</v>
      </c>
      <c r="AP14" s="334">
        <f ca="1">'Income Statement'!AV18</f>
        <v>0</v>
      </c>
      <c r="AQ14" s="334">
        <f ca="1">'Income Statement'!AW18</f>
        <v>0</v>
      </c>
      <c r="AR14" s="334">
        <f ca="1">'Income Statement'!AX18</f>
        <v>0</v>
      </c>
      <c r="AS14" s="334">
        <f ca="1">'Income Statement'!AY18</f>
        <v>0</v>
      </c>
      <c r="AT14" s="334">
        <f ca="1">'Income Statement'!AZ18</f>
        <v>0</v>
      </c>
      <c r="AU14" s="334">
        <f ca="1">'Income Statement'!BA18</f>
        <v>0</v>
      </c>
      <c r="AV14" s="334">
        <f ca="1">'Income Statement'!BB18</f>
        <v>0</v>
      </c>
      <c r="AW14" s="334">
        <f ca="1">'Income Statement'!BC18</f>
        <v>0</v>
      </c>
      <c r="AX14" s="334">
        <f ca="1">'Income Statement'!BD18</f>
        <v>0</v>
      </c>
      <c r="AY14" s="334">
        <f ca="1">'Income Statement'!BE18</f>
        <v>0</v>
      </c>
      <c r="AZ14" s="334">
        <f ca="1">'Income Statement'!BF18</f>
        <v>0</v>
      </c>
      <c r="BA14" s="334">
        <f ca="1">'Income Statement'!BG18</f>
        <v>0</v>
      </c>
      <c r="BB14" s="334">
        <f ca="1">'Income Statement'!BH18</f>
        <v>0</v>
      </c>
      <c r="BC14" s="334">
        <f ca="1">'Income Statement'!BI18</f>
        <v>0</v>
      </c>
      <c r="BD14" s="334">
        <f ca="1">'Income Statement'!BJ18</f>
        <v>0</v>
      </c>
      <c r="BE14" s="334">
        <f ca="1">'Income Statement'!BK18</f>
        <v>0</v>
      </c>
      <c r="BF14" s="334">
        <f ca="1">'Income Statement'!BL18</f>
        <v>0</v>
      </c>
      <c r="BG14" s="334">
        <f ca="1">'Income Statement'!BM18</f>
        <v>0</v>
      </c>
      <c r="BH14" s="334">
        <f ca="1">'Income Statement'!BN18</f>
        <v>0</v>
      </c>
      <c r="BI14" s="334">
        <f ca="1">'Income Statement'!BO18</f>
        <v>0</v>
      </c>
      <c r="BJ14" s="334">
        <f ca="1">'Income Statement'!BP18</f>
        <v>0</v>
      </c>
      <c r="BK14" s="334">
        <f ca="1">'Income Statement'!BQ18</f>
        <v>0</v>
      </c>
      <c r="IR14" s="316"/>
    </row>
    <row r="15" spans="1:252">
      <c r="B15" s="327" t="str">
        <f>'Income Statement'!E19</f>
        <v>Profit before tax</v>
      </c>
      <c r="C15" s="323"/>
      <c r="D15" s="335">
        <f ca="1">'Income Statement'!J19</f>
        <v>-67000</v>
      </c>
      <c r="E15" s="335">
        <f ca="1">'Income Statement'!K19</f>
        <v>-74291.666666666672</v>
      </c>
      <c r="F15" s="335">
        <f ca="1">'Income Statement'!L19</f>
        <v>10291.666666666668</v>
      </c>
      <c r="G15" s="335">
        <f ca="1">'Income Statement'!M19</f>
        <v>44683.809815321147</v>
      </c>
      <c r="H15" s="335">
        <f ca="1">'Income Statement'!N19</f>
        <v>-4316.1901846788505</v>
      </c>
      <c r="I15" s="335">
        <f ca="1">'Income Statement'!O19</f>
        <v>1517.1431486544825</v>
      </c>
      <c r="J15" s="335">
        <f ca="1">'Income Statement'!P19</f>
        <v>190477.84003257321</v>
      </c>
      <c r="K15" s="335">
        <f ca="1">'Income Statement'!Q19</f>
        <v>196894.50669923986</v>
      </c>
      <c r="L15" s="335">
        <f ca="1">'Income Statement'!R19</f>
        <v>281477.84003257315</v>
      </c>
      <c r="M15" s="335">
        <f ca="1">'Income Statement'!S19</f>
        <v>251673.39796322494</v>
      </c>
      <c r="N15" s="335">
        <f ca="1">'Income Statement'!T19</f>
        <v>601673.39796322491</v>
      </c>
      <c r="O15" s="335">
        <f ca="1">'Income Statement'!U19</f>
        <v>587090.06462989165</v>
      </c>
      <c r="P15" s="335">
        <f ca="1">'Income Statement'!V19</f>
        <v>909387.75018454797</v>
      </c>
      <c r="Q15" s="335">
        <f ca="1">'Income Statement'!W19</f>
        <v>1186564.0113679084</v>
      </c>
      <c r="R15" s="335">
        <f ca="1">'Income Statement'!X19</f>
        <v>1224849.8391827617</v>
      </c>
      <c r="S15" s="335">
        <f ca="1">'Income Statement'!Y19</f>
        <v>1554276.6682840942</v>
      </c>
      <c r="T15" s="335">
        <f ca="1">'Income Statement'!Z19</f>
        <v>1543595.5742938174</v>
      </c>
      <c r="U15" s="335">
        <f ca="1">'Income Statement'!AA19</f>
        <v>1534218.7622378413</v>
      </c>
      <c r="V15" s="335">
        <f ca="1">'Income Statement'!AB19</f>
        <v>1508583.438948632</v>
      </c>
      <c r="W15" s="335">
        <f ca="1">'Income Statement'!AC19</f>
        <v>1497165.3708460801</v>
      </c>
      <c r="X15" s="335">
        <f ca="1">'Income Statement'!AD19</f>
        <v>1462759.7640195086</v>
      </c>
      <c r="Y15" s="335">
        <f ca="1">'Income Statement'!AE19</f>
        <v>1616055.9124375498</v>
      </c>
      <c r="Z15" s="335">
        <f ca="1">'Income Statement'!AF19</f>
        <v>1761514.4960635144</v>
      </c>
      <c r="AA15" s="335">
        <f ca="1">'Income Statement'!AG19</f>
        <v>1898358.3740564925</v>
      </c>
      <c r="AB15" s="335">
        <f ca="1">'Income Statement'!AH19</f>
        <v>2142597.8696589647</v>
      </c>
      <c r="AC15" s="335">
        <f ca="1">'Income Statement'!AI19</f>
        <v>2250304.9756665984</v>
      </c>
      <c r="AD15" s="335">
        <f ca="1">'Income Statement'!AJ19</f>
        <v>2524147.047655392</v>
      </c>
      <c r="AE15" s="335">
        <f ca="1">'Income Statement'!AK19</f>
        <v>2627878.9701409945</v>
      </c>
      <c r="AF15" s="335">
        <f ca="1">'Income Statement'!AL19</f>
        <v>2752688.0723454268</v>
      </c>
      <c r="AG15" s="335">
        <f ca="1">'Income Statement'!AM19</f>
        <v>2961434.448233474</v>
      </c>
      <c r="AH15" s="335">
        <f ca="1">'Income Statement'!AN19</f>
        <v>3152862.4287613113</v>
      </c>
      <c r="AI15" s="335">
        <f ca="1">'Income Statement'!AO19</f>
        <v>3204634.6258895406</v>
      </c>
      <c r="AJ15" s="335">
        <f ca="1">'Income Statement'!AP19</f>
        <v>3514990.0789030646</v>
      </c>
      <c r="AK15" s="335">
        <f ca="1">'Income Statement'!AQ19</f>
        <v>3625340.1668431396</v>
      </c>
      <c r="AL15" s="335">
        <f ca="1">'Income Statement'!AR19</f>
        <v>3923549.0007617353</v>
      </c>
      <c r="AM15" s="335">
        <f ca="1">'Income Statement'!AS19</f>
        <v>4204528.4234143589</v>
      </c>
      <c r="AN15" s="335">
        <f ca="1">'Income Statement'!AT19</f>
        <v>4642587.596917294</v>
      </c>
      <c r="AO15" s="335">
        <f ca="1">'Income Statement'!AU19</f>
        <v>4884889.3999115592</v>
      </c>
      <c r="AP15" s="335">
        <f ca="1">'Income Statement'!AV19</f>
        <v>5287115.4335942166</v>
      </c>
      <c r="AQ15" s="335">
        <f ca="1">'Income Statement'!AW19</f>
        <v>5847560.6963013588</v>
      </c>
      <c r="AR15" s="335">
        <f ca="1">'Income Statement'!AX19</f>
        <v>6216892.5298779448</v>
      </c>
      <c r="AS15" s="335">
        <f ca="1">'Income Statement'!AY19</f>
        <v>6736004.4846583605</v>
      </c>
      <c r="AT15" s="335">
        <f ca="1">'Income Statement'!AZ19</f>
        <v>7235293.96488644</v>
      </c>
      <c r="AU15" s="335">
        <f ca="1">'Income Statement'!BA19</f>
        <v>7722579.5695250602</v>
      </c>
      <c r="AV15" s="335">
        <f ca="1">'Income Statement'!BB19</f>
        <v>8173961.4834066592</v>
      </c>
      <c r="AW15" s="335">
        <f ca="1">'Income Statement'!BC19</f>
        <v>8784196.8606476039</v>
      </c>
      <c r="AX15" s="335">
        <f ca="1">'Income Statement'!BD19</f>
        <v>9356767.6839491166</v>
      </c>
      <c r="AY15" s="335">
        <f ca="1">'Income Statement'!BE19</f>
        <v>10086275.853174651</v>
      </c>
      <c r="AZ15" s="335">
        <f ca="1">'Income Statement'!BF19</f>
        <v>10749289.965554396</v>
      </c>
      <c r="BA15" s="335">
        <f ca="1">'Income Statement'!BG19</f>
        <v>11385997.738209594</v>
      </c>
      <c r="BB15" s="335">
        <f ca="1">'Income Statement'!BH19</f>
        <v>12167553.972241577</v>
      </c>
      <c r="BC15" s="335">
        <f ca="1">'Income Statement'!BI19</f>
        <v>12901692.914145119</v>
      </c>
      <c r="BD15" s="335">
        <f ca="1">'Income Statement'!BJ19</f>
        <v>13722169.081298295</v>
      </c>
      <c r="BE15" s="335">
        <f ca="1">'Income Statement'!BK19</f>
        <v>14502122.157525789</v>
      </c>
      <c r="BF15" s="335">
        <f ca="1">'Income Statement'!BL19</f>
        <v>15418175.543211546</v>
      </c>
      <c r="BG15" s="335">
        <f ca="1">'Income Statement'!BM19</f>
        <v>16217309.252488783</v>
      </c>
      <c r="BH15" s="335">
        <f ca="1">'Income Statement'!BN19</f>
        <v>17158718.913585316</v>
      </c>
      <c r="BI15" s="335">
        <f ca="1">'Income Statement'!BO19</f>
        <v>18214442.211917989</v>
      </c>
      <c r="BJ15" s="335">
        <f ca="1">'Income Statement'!BP19</f>
        <v>19230521.358521014</v>
      </c>
      <c r="BK15" s="335">
        <f ca="1">'Income Statement'!BQ19</f>
        <v>20356308.530305412</v>
      </c>
      <c r="IR15" s="316"/>
    </row>
    <row r="16" spans="1:252">
      <c r="C16" s="292"/>
      <c r="D16" s="334"/>
      <c r="E16" s="334"/>
      <c r="F16" s="334"/>
      <c r="G16" s="334"/>
      <c r="H16" s="334"/>
      <c r="I16" s="334"/>
      <c r="J16" s="334"/>
      <c r="K16" s="334"/>
      <c r="L16" s="334"/>
      <c r="M16" s="334"/>
      <c r="N16" s="334"/>
      <c r="O16" s="334"/>
      <c r="P16" s="334"/>
      <c r="Q16" s="334"/>
      <c r="R16" s="334"/>
      <c r="S16" s="334"/>
      <c r="T16" s="334"/>
      <c r="U16" s="334"/>
      <c r="V16" s="334"/>
      <c r="W16" s="334"/>
      <c r="X16" s="334"/>
      <c r="Y16" s="334"/>
      <c r="Z16" s="334"/>
      <c r="AA16" s="334"/>
      <c r="AB16" s="334"/>
      <c r="AC16" s="334"/>
      <c r="AD16" s="334"/>
      <c r="AE16" s="334"/>
      <c r="AF16" s="334"/>
      <c r="AG16" s="334"/>
      <c r="AH16" s="334"/>
      <c r="AI16" s="334"/>
      <c r="AJ16" s="334"/>
      <c r="AK16" s="334"/>
      <c r="AL16" s="334"/>
      <c r="AM16" s="334"/>
      <c r="AN16" s="334"/>
      <c r="AO16" s="334"/>
      <c r="AP16" s="334"/>
      <c r="AQ16" s="334"/>
      <c r="AR16" s="334"/>
      <c r="AS16" s="334"/>
      <c r="AT16" s="334"/>
      <c r="AU16" s="334"/>
      <c r="AV16" s="334"/>
      <c r="AW16" s="334"/>
      <c r="AX16" s="334"/>
      <c r="AY16" s="334"/>
      <c r="AZ16" s="334"/>
      <c r="BA16" s="334"/>
      <c r="BB16" s="334"/>
      <c r="BC16" s="334"/>
      <c r="BD16" s="334"/>
      <c r="BE16" s="334"/>
      <c r="BF16" s="334"/>
      <c r="BG16" s="334"/>
      <c r="BH16" s="334"/>
      <c r="BI16" s="334"/>
      <c r="BJ16" s="334"/>
      <c r="BK16" s="334"/>
      <c r="IR16" s="316"/>
    </row>
    <row r="17" spans="1:252">
      <c r="B17" s="316" t="str">
        <f>'Income Statement'!E21</f>
        <v xml:space="preserve">Corporation tax </v>
      </c>
      <c r="C17" s="292"/>
      <c r="D17" s="334">
        <f ca="1">'Income Statement'!J21</f>
        <v>0</v>
      </c>
      <c r="E17" s="334">
        <f ca="1">'Income Statement'!K21</f>
        <v>0</v>
      </c>
      <c r="F17" s="334">
        <f ca="1">'Income Statement'!L21</f>
        <v>0</v>
      </c>
      <c r="G17" s="334">
        <f ca="1">'Income Statement'!M21</f>
        <v>0</v>
      </c>
      <c r="H17" s="334">
        <f ca="1">'Income Statement'!N21</f>
        <v>0</v>
      </c>
      <c r="I17" s="334">
        <f ca="1">'Income Statement'!O21</f>
        <v>0</v>
      </c>
      <c r="J17" s="334">
        <f ca="1">'Income Statement'!P21</f>
        <v>-36589.187229040661</v>
      </c>
      <c r="K17" s="334">
        <f ca="1">'Income Statement'!Q21</f>
        <v>-43753.901339847973</v>
      </c>
      <c r="L17" s="334">
        <f ca="1">'Income Statement'!R21</f>
        <v>-57753.901339847973</v>
      </c>
      <c r="M17" s="334">
        <f ca="1">'Income Statement'!S21</f>
        <v>-57626.346259311656</v>
      </c>
      <c r="N17" s="334">
        <f ca="1">'Income Statement'!T21</f>
        <v>-127626.34625931166</v>
      </c>
      <c r="O17" s="334">
        <f ca="1">'Income Statement'!U21</f>
        <v>-127626.34625931166</v>
      </c>
      <c r="P17" s="334">
        <f ca="1">'Income Statement'!V21</f>
        <v>-195002.55003690961</v>
      </c>
      <c r="Q17" s="334">
        <f ca="1">'Income Statement'!W21</f>
        <v>-250437.80227358171</v>
      </c>
      <c r="R17" s="334">
        <f ca="1">'Income Statement'!X21</f>
        <v>-259553.3011698857</v>
      </c>
      <c r="S17" s="334">
        <f ca="1">'Income Statement'!Y21</f>
        <v>-325438.66699015221</v>
      </c>
      <c r="T17" s="334">
        <f ca="1">'Income Statement'!Z21</f>
        <v>-323302.44819209684</v>
      </c>
      <c r="U17" s="334">
        <f ca="1">'Income Statement'!AA21</f>
        <v>-319968.75244756829</v>
      </c>
      <c r="V17" s="334">
        <f ca="1">'Income Statement'!AB21</f>
        <v>-316300.02112305979</v>
      </c>
      <c r="W17" s="334">
        <f ca="1">'Income Statement'!AC21</f>
        <v>-312558.07416921604</v>
      </c>
      <c r="X17" s="334">
        <f ca="1">'Income Statement'!AD21</f>
        <v>-308593.61947056837</v>
      </c>
      <c r="Y17" s="334">
        <f ca="1">'Income Statement'!AE21</f>
        <v>-339252.84915417666</v>
      </c>
      <c r="Z17" s="334">
        <f ca="1">'Income Statement'!AF21</f>
        <v>-369802.89921270288</v>
      </c>
      <c r="AA17" s="334">
        <f ca="1">'Income Statement'!AG21</f>
        <v>-400088.34147796518</v>
      </c>
      <c r="AB17" s="334">
        <f ca="1">'Income Statement'!AH21</f>
        <v>-450394.57393179298</v>
      </c>
      <c r="AC17" s="334">
        <f ca="1">'Income Statement'!AI21</f>
        <v>-473102.66179998638</v>
      </c>
      <c r="AD17" s="334">
        <f ca="1">'Income Statement'!AJ21</f>
        <v>-530496.07619774516</v>
      </c>
      <c r="AE17" s="334">
        <f ca="1">'Income Statement'!AK21</f>
        <v>-552409.12736153218</v>
      </c>
      <c r="AF17" s="334">
        <f ca="1">'Income Statement'!AL21</f>
        <v>-579995.94780241873</v>
      </c>
      <c r="AG17" s="334">
        <f ca="1">'Income Statement'!AM21</f>
        <v>-622328.55631336151</v>
      </c>
      <c r="AH17" s="334">
        <f ca="1">'Income Statement'!AN21</f>
        <v>-664114.15241892904</v>
      </c>
      <c r="AI17" s="334">
        <f ca="1">'Income Statement'!AO21</f>
        <v>-676510.25851124153</v>
      </c>
      <c r="AJ17" s="334">
        <f ca="1">'Income Statement'!AP21</f>
        <v>-738581.34911394631</v>
      </c>
      <c r="AK17" s="334">
        <f ca="1">'Income Statement'!AQ21</f>
        <v>-765026.36670196126</v>
      </c>
      <c r="AL17" s="334">
        <f ca="1">'Income Statement'!AR21</f>
        <v>-826126.46681901382</v>
      </c>
      <c r="AM17" s="334">
        <f ca="1">'Income Statement'!AS21</f>
        <v>-886697.35134953842</v>
      </c>
      <c r="AN17" s="334">
        <f ca="1">'Income Statement'!AT21</f>
        <v>-977225.85271679226</v>
      </c>
      <c r="AO17" s="334">
        <f ca="1">'Income Statement'!AU21</f>
        <v>-1029974.496303038</v>
      </c>
      <c r="AP17" s="334">
        <f ca="1">'Income Statement'!AV21</f>
        <v>-1114616.1125524517</v>
      </c>
      <c r="AQ17" s="334">
        <f ca="1">'Income Statement'!AW21</f>
        <v>-1230804.2380511677</v>
      </c>
      <c r="AR17" s="334">
        <f ca="1">'Income Statement'!AX21</f>
        <v>-1308666.5532353884</v>
      </c>
      <c r="AS17" s="334">
        <f ca="1">'Income Statement'!AY21</f>
        <v>-1417833.96940414</v>
      </c>
      <c r="AT17" s="334">
        <f ca="1">'Income Statement'!AZ21</f>
        <v>-1522921.1373379619</v>
      </c>
      <c r="AU17" s="334">
        <f ca="1">'Income Statement'!BA21</f>
        <v>-1624026.5604452407</v>
      </c>
      <c r="AV17" s="334">
        <f ca="1">'Income Statement'!BB21</f>
        <v>-1720737.983354107</v>
      </c>
      <c r="AW17" s="334">
        <f ca="1">'Income Statement'!BC21</f>
        <v>-1847624.1109244723</v>
      </c>
      <c r="AX17" s="334">
        <f ca="1">'Income Statement'!BD21</f>
        <v>-1969748.1543235325</v>
      </c>
      <c r="AY17" s="334">
        <f ca="1">'Income Statement'!BE21</f>
        <v>-2121646.8214233178</v>
      </c>
      <c r="AZ17" s="334">
        <f ca="1">'Income Statement'!BF21</f>
        <v>-2261541.3105659331</v>
      </c>
      <c r="BA17" s="334">
        <f ca="1">'Income Statement'!BG21</f>
        <v>-2395738.5977384252</v>
      </c>
      <c r="BB17" s="334">
        <f ca="1">'Income Statement'!BH21</f>
        <v>-2558721.8302372526</v>
      </c>
      <c r="BC17" s="334">
        <f ca="1">'Income Statement'!BI21</f>
        <v>-2714943.5978658702</v>
      </c>
      <c r="BD17" s="334">
        <f ca="1">'Income Statement'!BJ21</f>
        <v>-2886768.2282343116</v>
      </c>
      <c r="BE17" s="334">
        <f ca="1">'Income Statement'!BK21</f>
        <v>-3051203.0605718144</v>
      </c>
      <c r="BF17" s="334">
        <f ca="1">'Income Statement'!BL21</f>
        <v>-3242626.4481520443</v>
      </c>
      <c r="BG17" s="334">
        <f ca="1">'Income Statement'!BM21</f>
        <v>-3413337.2943666014</v>
      </c>
      <c r="BH17" s="334">
        <f ca="1">'Income Statement'!BN21</f>
        <v>-3610260.140184334</v>
      </c>
      <c r="BI17" s="334">
        <f ca="1">'Income Statement'!BO21</f>
        <v>-3832687.0707618888</v>
      </c>
      <c r="BJ17" s="334">
        <f ca="1">'Income Statement'!BP21</f>
        <v>-4045435.1575600081</v>
      </c>
      <c r="BK17" s="334">
        <f ca="1">'Income Statement'!BQ21</f>
        <v>-4282732.4917595787</v>
      </c>
      <c r="IR17" s="316"/>
    </row>
    <row r="18" spans="1:252">
      <c r="B18" s="327" t="str">
        <f>'Income Statement'!E22</f>
        <v>Retained Earnings this period</v>
      </c>
      <c r="C18" s="323"/>
      <c r="D18" s="335">
        <f ca="1">'Income Statement'!J22</f>
        <v>-67000</v>
      </c>
      <c r="E18" s="335">
        <f ca="1">'Income Statement'!K22</f>
        <v>-74291.666666666672</v>
      </c>
      <c r="F18" s="335">
        <f ca="1">'Income Statement'!L22</f>
        <v>10291.666666666668</v>
      </c>
      <c r="G18" s="335">
        <f ca="1">'Income Statement'!M22</f>
        <v>44683.809815321147</v>
      </c>
      <c r="H18" s="335">
        <f ca="1">'Income Statement'!N22</f>
        <v>-4316.1901846788505</v>
      </c>
      <c r="I18" s="335">
        <f ca="1">'Income Statement'!O22</f>
        <v>1517.1431486544825</v>
      </c>
      <c r="J18" s="335">
        <f ca="1">'Income Statement'!P22</f>
        <v>153888.65280353255</v>
      </c>
      <c r="K18" s="335">
        <f ca="1">'Income Statement'!Q22</f>
        <v>153140.60535939189</v>
      </c>
      <c r="L18" s="335">
        <f ca="1">'Income Statement'!R22</f>
        <v>223723.93869272518</v>
      </c>
      <c r="M18" s="335">
        <f ca="1">'Income Statement'!S22</f>
        <v>194047.05170391328</v>
      </c>
      <c r="N18" s="335">
        <f ca="1">'Income Statement'!T22</f>
        <v>474047.05170391325</v>
      </c>
      <c r="O18" s="335">
        <f ca="1">'Income Statement'!U22</f>
        <v>459463.71837058</v>
      </c>
      <c r="P18" s="335">
        <f ca="1">'Income Statement'!V22</f>
        <v>714385.20014763833</v>
      </c>
      <c r="Q18" s="335">
        <f ca="1">'Income Statement'!W22</f>
        <v>936126.20909432671</v>
      </c>
      <c r="R18" s="335">
        <f ca="1">'Income Statement'!X22</f>
        <v>965296.53801287606</v>
      </c>
      <c r="S18" s="335">
        <f ca="1">'Income Statement'!Y22</f>
        <v>1228838.0012939419</v>
      </c>
      <c r="T18" s="335">
        <f ca="1">'Income Statement'!Z22</f>
        <v>1220293.1261017206</v>
      </c>
      <c r="U18" s="335">
        <f ca="1">'Income Statement'!AA22</f>
        <v>1214250.0097902729</v>
      </c>
      <c r="V18" s="335">
        <f ca="1">'Income Statement'!AB22</f>
        <v>1192283.4178255722</v>
      </c>
      <c r="W18" s="335">
        <f ca="1">'Income Statement'!AC22</f>
        <v>1184607.2966768641</v>
      </c>
      <c r="X18" s="335">
        <f ca="1">'Income Statement'!AD22</f>
        <v>1154166.1445489402</v>
      </c>
      <c r="Y18" s="335">
        <f ca="1">'Income Statement'!AE22</f>
        <v>1276803.0632833731</v>
      </c>
      <c r="Z18" s="335">
        <f ca="1">'Income Statement'!AF22</f>
        <v>1391711.5968508115</v>
      </c>
      <c r="AA18" s="335">
        <f ca="1">'Income Statement'!AG22</f>
        <v>1498270.0325785272</v>
      </c>
      <c r="AB18" s="335">
        <f ca="1">'Income Statement'!AH22</f>
        <v>1692203.2957271717</v>
      </c>
      <c r="AC18" s="335">
        <f ca="1">'Income Statement'!AI22</f>
        <v>1777202.313866612</v>
      </c>
      <c r="AD18" s="335">
        <f ca="1">'Income Statement'!AJ22</f>
        <v>1993650.9714576467</v>
      </c>
      <c r="AE18" s="335">
        <f ca="1">'Income Statement'!AK22</f>
        <v>2075469.8427794622</v>
      </c>
      <c r="AF18" s="335">
        <f ca="1">'Income Statement'!AL22</f>
        <v>2172692.1245430079</v>
      </c>
      <c r="AG18" s="335">
        <f ca="1">'Income Statement'!AM22</f>
        <v>2339105.8919201125</v>
      </c>
      <c r="AH18" s="335">
        <f ca="1">'Income Statement'!AN22</f>
        <v>2488748.2763423822</v>
      </c>
      <c r="AI18" s="335">
        <f ca="1">'Income Statement'!AO22</f>
        <v>2528124.3673782991</v>
      </c>
      <c r="AJ18" s="335">
        <f ca="1">'Income Statement'!AP22</f>
        <v>2776408.7297891183</v>
      </c>
      <c r="AK18" s="335">
        <f ca="1">'Income Statement'!AQ22</f>
        <v>2860313.8001411781</v>
      </c>
      <c r="AL18" s="335">
        <f ca="1">'Income Statement'!AR22</f>
        <v>3097422.5339427213</v>
      </c>
      <c r="AM18" s="335">
        <f ca="1">'Income Statement'!AS22</f>
        <v>3317831.0720648207</v>
      </c>
      <c r="AN18" s="335">
        <f ca="1">'Income Statement'!AT22</f>
        <v>3665361.7442005016</v>
      </c>
      <c r="AO18" s="335">
        <f ca="1">'Income Statement'!AU22</f>
        <v>3854914.9036085214</v>
      </c>
      <c r="AP18" s="335">
        <f ca="1">'Income Statement'!AV22</f>
        <v>4172499.3210417647</v>
      </c>
      <c r="AQ18" s="335">
        <f ca="1">'Income Statement'!AW22</f>
        <v>4616756.4582501911</v>
      </c>
      <c r="AR18" s="335">
        <f ca="1">'Income Statement'!AX22</f>
        <v>4908225.9766425565</v>
      </c>
      <c r="AS18" s="335">
        <f ca="1">'Income Statement'!AY22</f>
        <v>5318170.51525422</v>
      </c>
      <c r="AT18" s="335">
        <f ca="1">'Income Statement'!AZ22</f>
        <v>5712372.8275484778</v>
      </c>
      <c r="AU18" s="335">
        <f ca="1">'Income Statement'!BA22</f>
        <v>6098553.0090798195</v>
      </c>
      <c r="AV18" s="335">
        <f ca="1">'Income Statement'!BB22</f>
        <v>6453223.5000525527</v>
      </c>
      <c r="AW18" s="335">
        <f ca="1">'Income Statement'!BC22</f>
        <v>6936572.7497231318</v>
      </c>
      <c r="AX18" s="335">
        <f ca="1">'Income Statement'!BD22</f>
        <v>7387019.5296255844</v>
      </c>
      <c r="AY18" s="335">
        <f ca="1">'Income Statement'!BE22</f>
        <v>7964629.0317513328</v>
      </c>
      <c r="AZ18" s="335">
        <f ca="1">'Income Statement'!BF22</f>
        <v>8487748.6549884621</v>
      </c>
      <c r="BA18" s="335">
        <f ca="1">'Income Statement'!BG22</f>
        <v>8990259.1404711679</v>
      </c>
      <c r="BB18" s="335">
        <f ca="1">'Income Statement'!BH22</f>
        <v>9608832.1420043241</v>
      </c>
      <c r="BC18" s="335">
        <f ca="1">'Income Statement'!BI22</f>
        <v>10186749.316279249</v>
      </c>
      <c r="BD18" s="335">
        <f ca="1">'Income Statement'!BJ22</f>
        <v>10835400.853063984</v>
      </c>
      <c r="BE18" s="335">
        <f ca="1">'Income Statement'!BK22</f>
        <v>11450919.096953975</v>
      </c>
      <c r="BF18" s="335">
        <f ca="1">'Income Statement'!BL22</f>
        <v>12175549.095059501</v>
      </c>
      <c r="BG18" s="335">
        <f ca="1">'Income Statement'!BM22</f>
        <v>12803971.958122181</v>
      </c>
      <c r="BH18" s="335">
        <f ca="1">'Income Statement'!BN22</f>
        <v>13548458.773400983</v>
      </c>
      <c r="BI18" s="335">
        <f ca="1">'Income Statement'!BO22</f>
        <v>14381755.1411561</v>
      </c>
      <c r="BJ18" s="335">
        <f ca="1">'Income Statement'!BP22</f>
        <v>15185086.200961007</v>
      </c>
      <c r="BK18" s="335">
        <f ca="1">'Income Statement'!BQ22</f>
        <v>16073576.038545832</v>
      </c>
      <c r="IR18" s="316"/>
    </row>
    <row r="19" spans="1:252">
      <c r="C19" s="292"/>
      <c r="D19" s="334"/>
      <c r="E19" s="334"/>
      <c r="F19" s="334"/>
      <c r="G19" s="334"/>
      <c r="H19" s="334"/>
      <c r="I19" s="334"/>
      <c r="J19" s="334"/>
      <c r="K19" s="334"/>
      <c r="L19" s="334"/>
      <c r="M19" s="334"/>
      <c r="N19" s="334"/>
      <c r="O19" s="334"/>
      <c r="P19" s="334"/>
      <c r="Q19" s="334"/>
      <c r="R19" s="334"/>
      <c r="S19" s="334"/>
      <c r="T19" s="334"/>
      <c r="U19" s="334"/>
      <c r="V19" s="334"/>
      <c r="W19" s="334"/>
      <c r="X19" s="334"/>
      <c r="Y19" s="334"/>
      <c r="Z19" s="334"/>
      <c r="AA19" s="334"/>
      <c r="AB19" s="334"/>
      <c r="AC19" s="334"/>
      <c r="AD19" s="334"/>
      <c r="AE19" s="334"/>
      <c r="AF19" s="334"/>
      <c r="AG19" s="334"/>
      <c r="AH19" s="334"/>
      <c r="AI19" s="334"/>
      <c r="AJ19" s="334"/>
      <c r="AK19" s="334"/>
      <c r="AL19" s="334"/>
      <c r="AM19" s="334"/>
      <c r="AN19" s="334"/>
      <c r="AO19" s="334"/>
      <c r="AP19" s="334"/>
      <c r="AQ19" s="334"/>
      <c r="AR19" s="334"/>
      <c r="AS19" s="334"/>
      <c r="AT19" s="334"/>
      <c r="AU19" s="334"/>
      <c r="AV19" s="334"/>
      <c r="AW19" s="334"/>
      <c r="AX19" s="334"/>
      <c r="AY19" s="334"/>
      <c r="AZ19" s="334"/>
      <c r="BA19" s="334"/>
      <c r="BB19" s="334"/>
      <c r="BC19" s="334"/>
      <c r="BD19" s="334"/>
      <c r="BE19" s="334"/>
      <c r="BF19" s="334"/>
      <c r="BG19" s="334"/>
      <c r="BH19" s="334"/>
      <c r="BI19" s="334"/>
      <c r="BJ19" s="334"/>
      <c r="BK19" s="334"/>
      <c r="IR19" s="316"/>
    </row>
    <row r="20" spans="1:252" s="333" customFormat="1">
      <c r="A20" s="329"/>
      <c r="B20" s="329"/>
      <c r="C20" s="292"/>
      <c r="D20" s="337"/>
      <c r="E20" s="337"/>
      <c r="F20" s="337"/>
      <c r="G20" s="337"/>
      <c r="H20" s="337"/>
      <c r="I20" s="337"/>
      <c r="J20" s="337"/>
      <c r="K20" s="337"/>
      <c r="L20" s="337"/>
      <c r="M20" s="337"/>
      <c r="N20" s="337"/>
      <c r="O20" s="337"/>
      <c r="P20" s="337"/>
      <c r="Q20" s="337"/>
      <c r="R20" s="337"/>
      <c r="S20" s="337"/>
      <c r="T20" s="337"/>
      <c r="U20" s="337"/>
      <c r="V20" s="337"/>
      <c r="W20" s="337"/>
      <c r="X20" s="337"/>
      <c r="Y20" s="337"/>
      <c r="Z20" s="337"/>
      <c r="AA20" s="337"/>
      <c r="AB20" s="337"/>
      <c r="AC20" s="337"/>
      <c r="AD20" s="337"/>
      <c r="AE20" s="337"/>
      <c r="AF20" s="337"/>
      <c r="AG20" s="337"/>
      <c r="AH20" s="337"/>
      <c r="AI20" s="337"/>
      <c r="AJ20" s="337"/>
      <c r="AK20" s="337"/>
      <c r="AL20" s="337"/>
      <c r="AM20" s="337"/>
      <c r="AN20" s="337"/>
      <c r="AO20" s="337"/>
      <c r="AP20" s="337"/>
      <c r="AQ20" s="337"/>
      <c r="AR20" s="337"/>
      <c r="AS20" s="337"/>
      <c r="AT20" s="337"/>
      <c r="AU20" s="337"/>
      <c r="AV20" s="337"/>
      <c r="AW20" s="337"/>
      <c r="AX20" s="337"/>
      <c r="AY20" s="337"/>
      <c r="AZ20" s="337"/>
      <c r="BA20" s="337"/>
      <c r="BB20" s="337"/>
      <c r="BC20" s="337"/>
      <c r="BD20" s="337"/>
      <c r="BE20" s="337"/>
      <c r="BF20" s="337"/>
      <c r="BG20" s="337"/>
      <c r="BH20" s="337"/>
      <c r="BI20" s="337"/>
      <c r="BJ20" s="337"/>
      <c r="BK20" s="337"/>
      <c r="BL20" s="329"/>
      <c r="BM20" s="329"/>
      <c r="BN20" s="329"/>
      <c r="BO20" s="329"/>
      <c r="BP20" s="329"/>
      <c r="BQ20" s="329"/>
      <c r="BR20" s="329"/>
      <c r="BS20" s="329"/>
      <c r="BT20" s="329"/>
      <c r="BU20" s="329"/>
      <c r="BV20" s="329"/>
      <c r="BW20" s="329"/>
      <c r="BX20" s="329"/>
      <c r="BY20" s="329"/>
      <c r="BZ20" s="329"/>
      <c r="CA20" s="329"/>
      <c r="CB20" s="329"/>
      <c r="CC20" s="329"/>
      <c r="CD20" s="329"/>
      <c r="CE20" s="329"/>
      <c r="CF20" s="329"/>
      <c r="CG20" s="329"/>
      <c r="CH20" s="329"/>
      <c r="CI20" s="329"/>
      <c r="CJ20" s="329"/>
      <c r="CK20" s="329"/>
      <c r="CL20" s="329"/>
      <c r="CM20" s="329"/>
      <c r="CN20" s="329"/>
      <c r="CO20" s="329"/>
      <c r="CP20" s="329"/>
      <c r="CQ20" s="329"/>
      <c r="CR20" s="329"/>
      <c r="CS20" s="329"/>
      <c r="CT20" s="329"/>
      <c r="CU20" s="329"/>
      <c r="CV20" s="329"/>
      <c r="CW20" s="329"/>
      <c r="CX20" s="329"/>
      <c r="CY20" s="329"/>
      <c r="CZ20" s="329"/>
      <c r="DA20" s="329"/>
      <c r="DB20" s="329"/>
      <c r="DC20" s="329"/>
      <c r="DD20" s="329"/>
      <c r="DE20" s="329"/>
      <c r="DF20" s="329"/>
      <c r="DG20" s="329"/>
      <c r="DH20" s="329"/>
      <c r="DI20" s="329"/>
      <c r="DJ20" s="329"/>
      <c r="DK20" s="329"/>
      <c r="DL20" s="329"/>
      <c r="DM20" s="329"/>
      <c r="DN20" s="329"/>
      <c r="DO20" s="329"/>
      <c r="DP20" s="329"/>
      <c r="DQ20" s="329"/>
      <c r="DR20" s="329"/>
      <c r="DS20" s="329"/>
      <c r="DT20" s="329"/>
      <c r="DU20" s="329"/>
      <c r="DV20" s="329"/>
      <c r="DW20" s="329"/>
      <c r="DX20" s="329"/>
      <c r="DY20" s="329"/>
      <c r="DZ20" s="329"/>
      <c r="EA20" s="329"/>
      <c r="EB20" s="329"/>
      <c r="EC20" s="329"/>
      <c r="ED20" s="329"/>
      <c r="EE20" s="329"/>
      <c r="EF20" s="329"/>
      <c r="EG20" s="329"/>
      <c r="EH20" s="329"/>
      <c r="EI20" s="329"/>
      <c r="EJ20" s="329"/>
      <c r="EK20" s="329"/>
      <c r="EL20" s="329"/>
      <c r="EM20" s="329"/>
      <c r="EN20" s="329"/>
      <c r="EO20" s="329"/>
      <c r="EP20" s="329"/>
      <c r="EQ20" s="329"/>
      <c r="ER20" s="329"/>
      <c r="ES20" s="329"/>
      <c r="ET20" s="329"/>
      <c r="EU20" s="329"/>
      <c r="EV20" s="329"/>
      <c r="EW20" s="329"/>
      <c r="EX20" s="329"/>
      <c r="EY20" s="329"/>
      <c r="EZ20" s="329"/>
      <c r="FA20" s="329"/>
      <c r="FB20" s="329"/>
      <c r="FC20" s="329"/>
      <c r="FD20" s="329"/>
      <c r="FE20" s="329"/>
      <c r="FF20" s="329"/>
      <c r="FG20" s="329"/>
      <c r="FH20" s="329"/>
      <c r="FI20" s="329"/>
      <c r="FJ20" s="329"/>
      <c r="FK20" s="329"/>
      <c r="FL20" s="329"/>
      <c r="FM20" s="329"/>
      <c r="FN20" s="329"/>
      <c r="FO20" s="329"/>
      <c r="FP20" s="329"/>
      <c r="FQ20" s="329"/>
      <c r="FR20" s="329"/>
      <c r="FS20" s="329"/>
      <c r="FT20" s="329"/>
      <c r="FU20" s="329"/>
      <c r="FV20" s="329"/>
      <c r="FW20" s="329"/>
      <c r="FX20" s="329"/>
      <c r="FY20" s="329"/>
      <c r="FZ20" s="329"/>
      <c r="GA20" s="329"/>
      <c r="GB20" s="329"/>
      <c r="GC20" s="329"/>
      <c r="GD20" s="329"/>
      <c r="GE20" s="329"/>
      <c r="GF20" s="329"/>
      <c r="GG20" s="329"/>
      <c r="GH20" s="329"/>
      <c r="GI20" s="329"/>
      <c r="GJ20" s="329"/>
      <c r="GK20" s="329"/>
      <c r="GL20" s="329"/>
      <c r="GM20" s="329"/>
      <c r="GN20" s="329"/>
      <c r="GO20" s="329"/>
      <c r="GP20" s="329"/>
      <c r="GQ20" s="329"/>
      <c r="GR20" s="329"/>
      <c r="GS20" s="329"/>
      <c r="GT20" s="329"/>
      <c r="GU20" s="329"/>
      <c r="GV20" s="329"/>
      <c r="GW20" s="329"/>
      <c r="GX20" s="329"/>
      <c r="GY20" s="329"/>
      <c r="GZ20" s="329"/>
      <c r="HA20" s="329"/>
      <c r="HB20" s="329"/>
      <c r="HC20" s="329"/>
      <c r="HD20" s="329"/>
      <c r="HE20" s="329"/>
      <c r="HF20" s="329"/>
      <c r="HG20" s="329"/>
      <c r="HH20" s="329"/>
      <c r="HI20" s="329"/>
      <c r="HJ20" s="329"/>
      <c r="HK20" s="329"/>
      <c r="HL20" s="329"/>
      <c r="HM20" s="329"/>
      <c r="HN20" s="329"/>
      <c r="HO20" s="329"/>
      <c r="HP20" s="329"/>
      <c r="HQ20" s="329"/>
      <c r="HR20" s="329"/>
      <c r="HS20" s="329"/>
      <c r="HT20" s="329"/>
      <c r="HU20" s="329"/>
      <c r="HV20" s="329"/>
      <c r="HW20" s="329"/>
      <c r="HX20" s="329"/>
      <c r="HY20" s="329"/>
      <c r="HZ20" s="329"/>
      <c r="IA20" s="329"/>
      <c r="IB20" s="329"/>
      <c r="IC20" s="329"/>
      <c r="ID20" s="329"/>
      <c r="IE20" s="329"/>
      <c r="IF20" s="329"/>
      <c r="IG20" s="329"/>
      <c r="IH20" s="329"/>
      <c r="II20" s="329"/>
      <c r="IJ20" s="329"/>
      <c r="IK20" s="329"/>
      <c r="IL20" s="329"/>
      <c r="IM20" s="329"/>
      <c r="IN20" s="329"/>
      <c r="IO20" s="329"/>
      <c r="IP20" s="329"/>
      <c r="IQ20" s="329"/>
      <c r="IR20" s="329"/>
    </row>
    <row r="21" spans="1:252">
      <c r="A21" s="331"/>
      <c r="B21" s="331" t="s">
        <v>472</v>
      </c>
      <c r="C21" s="292"/>
      <c r="D21" s="332">
        <f t="shared" ref="D21:BK21" si="0">D2</f>
        <v>45077</v>
      </c>
      <c r="E21" s="332">
        <f t="shared" si="0"/>
        <v>45107</v>
      </c>
      <c r="F21" s="332">
        <f t="shared" si="0"/>
        <v>45138</v>
      </c>
      <c r="G21" s="332">
        <f t="shared" si="0"/>
        <v>45169</v>
      </c>
      <c r="H21" s="332">
        <f t="shared" si="0"/>
        <v>45199</v>
      </c>
      <c r="I21" s="332">
        <f t="shared" si="0"/>
        <v>45230</v>
      </c>
      <c r="J21" s="332">
        <f t="shared" si="0"/>
        <v>45260</v>
      </c>
      <c r="K21" s="332">
        <f t="shared" si="0"/>
        <v>45291</v>
      </c>
      <c r="L21" s="332">
        <f t="shared" si="0"/>
        <v>45322</v>
      </c>
      <c r="M21" s="332">
        <f t="shared" si="0"/>
        <v>45351</v>
      </c>
      <c r="N21" s="332">
        <f t="shared" si="0"/>
        <v>45382</v>
      </c>
      <c r="O21" s="332">
        <f t="shared" si="0"/>
        <v>45412</v>
      </c>
      <c r="P21" s="332">
        <f t="shared" si="0"/>
        <v>45443</v>
      </c>
      <c r="Q21" s="332">
        <f t="shared" si="0"/>
        <v>45473</v>
      </c>
      <c r="R21" s="332">
        <f t="shared" si="0"/>
        <v>45504</v>
      </c>
      <c r="S21" s="332">
        <f t="shared" si="0"/>
        <v>45535</v>
      </c>
      <c r="T21" s="332">
        <f t="shared" si="0"/>
        <v>45565</v>
      </c>
      <c r="U21" s="332">
        <f t="shared" si="0"/>
        <v>45596</v>
      </c>
      <c r="V21" s="332">
        <f t="shared" si="0"/>
        <v>45626</v>
      </c>
      <c r="W21" s="332">
        <f t="shared" si="0"/>
        <v>45657</v>
      </c>
      <c r="X21" s="332">
        <f t="shared" si="0"/>
        <v>45688</v>
      </c>
      <c r="Y21" s="332">
        <f t="shared" si="0"/>
        <v>45716</v>
      </c>
      <c r="Z21" s="332">
        <f t="shared" si="0"/>
        <v>45747</v>
      </c>
      <c r="AA21" s="332">
        <f t="shared" si="0"/>
        <v>45777</v>
      </c>
      <c r="AB21" s="332">
        <f t="shared" si="0"/>
        <v>45808</v>
      </c>
      <c r="AC21" s="332">
        <f t="shared" si="0"/>
        <v>45838</v>
      </c>
      <c r="AD21" s="332">
        <f t="shared" si="0"/>
        <v>45869</v>
      </c>
      <c r="AE21" s="332">
        <f t="shared" si="0"/>
        <v>45900</v>
      </c>
      <c r="AF21" s="332">
        <f t="shared" si="0"/>
        <v>45930</v>
      </c>
      <c r="AG21" s="332">
        <f t="shared" si="0"/>
        <v>45961</v>
      </c>
      <c r="AH21" s="332">
        <f t="shared" si="0"/>
        <v>45991</v>
      </c>
      <c r="AI21" s="332">
        <f t="shared" si="0"/>
        <v>46022</v>
      </c>
      <c r="AJ21" s="332">
        <f t="shared" si="0"/>
        <v>46053</v>
      </c>
      <c r="AK21" s="332">
        <f t="shared" si="0"/>
        <v>46081</v>
      </c>
      <c r="AL21" s="332">
        <f t="shared" si="0"/>
        <v>46112</v>
      </c>
      <c r="AM21" s="332">
        <f t="shared" si="0"/>
        <v>46142</v>
      </c>
      <c r="AN21" s="332">
        <f t="shared" si="0"/>
        <v>46173</v>
      </c>
      <c r="AO21" s="332">
        <f t="shared" si="0"/>
        <v>46203</v>
      </c>
      <c r="AP21" s="332">
        <f t="shared" si="0"/>
        <v>46234</v>
      </c>
      <c r="AQ21" s="332">
        <f t="shared" si="0"/>
        <v>46265</v>
      </c>
      <c r="AR21" s="332">
        <f t="shared" si="0"/>
        <v>46295</v>
      </c>
      <c r="AS21" s="332">
        <f t="shared" si="0"/>
        <v>46326</v>
      </c>
      <c r="AT21" s="332">
        <f t="shared" si="0"/>
        <v>46356</v>
      </c>
      <c r="AU21" s="332">
        <f t="shared" si="0"/>
        <v>46387</v>
      </c>
      <c r="AV21" s="332">
        <f t="shared" si="0"/>
        <v>46418</v>
      </c>
      <c r="AW21" s="332">
        <f t="shared" si="0"/>
        <v>46446</v>
      </c>
      <c r="AX21" s="332">
        <f t="shared" si="0"/>
        <v>46477</v>
      </c>
      <c r="AY21" s="332">
        <f t="shared" si="0"/>
        <v>46507</v>
      </c>
      <c r="AZ21" s="332">
        <f t="shared" si="0"/>
        <v>46538</v>
      </c>
      <c r="BA21" s="332">
        <f t="shared" si="0"/>
        <v>46568</v>
      </c>
      <c r="BB21" s="332">
        <f t="shared" si="0"/>
        <v>46599</v>
      </c>
      <c r="BC21" s="332">
        <f t="shared" si="0"/>
        <v>46630</v>
      </c>
      <c r="BD21" s="332">
        <f t="shared" si="0"/>
        <v>46660</v>
      </c>
      <c r="BE21" s="332">
        <f t="shared" si="0"/>
        <v>46691</v>
      </c>
      <c r="BF21" s="332">
        <f t="shared" si="0"/>
        <v>46721</v>
      </c>
      <c r="BG21" s="332">
        <f t="shared" si="0"/>
        <v>46752</v>
      </c>
      <c r="BH21" s="332">
        <f t="shared" si="0"/>
        <v>46783</v>
      </c>
      <c r="BI21" s="332">
        <f t="shared" si="0"/>
        <v>46812</v>
      </c>
      <c r="BJ21" s="332">
        <f t="shared" si="0"/>
        <v>46843</v>
      </c>
      <c r="BK21" s="332">
        <f t="shared" si="0"/>
        <v>46873</v>
      </c>
      <c r="BL21" s="331"/>
      <c r="BM21" s="331"/>
      <c r="BN21" s="331"/>
      <c r="BO21" s="331"/>
      <c r="BP21" s="331"/>
      <c r="BQ21" s="331"/>
      <c r="BR21" s="331"/>
      <c r="BS21" s="331"/>
      <c r="BT21" s="331"/>
      <c r="BU21" s="331"/>
      <c r="BV21" s="331"/>
      <c r="BW21" s="331"/>
      <c r="BX21" s="331"/>
      <c r="BY21" s="331"/>
      <c r="BZ21" s="331"/>
      <c r="CA21" s="331"/>
      <c r="CB21" s="331"/>
      <c r="CC21" s="331"/>
      <c r="CD21" s="331"/>
      <c r="CE21" s="331"/>
      <c r="CF21" s="331"/>
      <c r="CG21" s="331"/>
      <c r="CH21" s="331"/>
      <c r="CI21" s="331"/>
      <c r="CJ21" s="331"/>
      <c r="CK21" s="331"/>
      <c r="CL21" s="331"/>
      <c r="CM21" s="331"/>
      <c r="CN21" s="331"/>
      <c r="CO21" s="331"/>
      <c r="CP21" s="331"/>
      <c r="CQ21" s="331"/>
      <c r="CR21" s="331"/>
      <c r="CS21" s="331"/>
      <c r="CT21" s="331"/>
      <c r="CU21" s="331"/>
      <c r="CV21" s="331"/>
      <c r="CW21" s="331"/>
      <c r="CX21" s="331"/>
      <c r="CY21" s="331"/>
      <c r="CZ21" s="331"/>
      <c r="DA21" s="331"/>
      <c r="DB21" s="331"/>
      <c r="DC21" s="331"/>
      <c r="DD21" s="331"/>
      <c r="DE21" s="331"/>
      <c r="DF21" s="331"/>
      <c r="DG21" s="331"/>
      <c r="DH21" s="331"/>
      <c r="DI21" s="331"/>
      <c r="DJ21" s="331"/>
      <c r="DK21" s="331"/>
      <c r="DL21" s="331"/>
      <c r="DM21" s="331"/>
      <c r="DN21" s="331"/>
      <c r="DO21" s="331"/>
      <c r="DP21" s="331"/>
      <c r="DQ21" s="331"/>
      <c r="DR21" s="331"/>
      <c r="DS21" s="331"/>
      <c r="DT21" s="331"/>
      <c r="DU21" s="331"/>
      <c r="DV21" s="331"/>
      <c r="DW21" s="331"/>
      <c r="DX21" s="331"/>
      <c r="DY21" s="331"/>
      <c r="DZ21" s="331"/>
      <c r="EA21" s="331"/>
      <c r="EB21" s="331"/>
      <c r="EC21" s="331"/>
      <c r="ED21" s="331"/>
      <c r="EE21" s="331"/>
      <c r="EF21" s="331"/>
      <c r="EG21" s="331"/>
      <c r="EH21" s="331"/>
      <c r="EI21" s="331"/>
      <c r="EJ21" s="331"/>
      <c r="EK21" s="331"/>
      <c r="EL21" s="331"/>
      <c r="EM21" s="331"/>
      <c r="EN21" s="331"/>
      <c r="EO21" s="331"/>
      <c r="EP21" s="331"/>
      <c r="EQ21" s="331"/>
      <c r="ER21" s="331"/>
      <c r="ES21" s="331"/>
      <c r="ET21" s="331"/>
      <c r="EU21" s="331"/>
      <c r="EV21" s="331"/>
      <c r="EW21" s="331"/>
      <c r="EX21" s="331"/>
      <c r="EY21" s="331"/>
      <c r="EZ21" s="331"/>
      <c r="FA21" s="331"/>
      <c r="FB21" s="331"/>
      <c r="FC21" s="331"/>
      <c r="FD21" s="331"/>
      <c r="FE21" s="331"/>
      <c r="FF21" s="331"/>
      <c r="FG21" s="331"/>
      <c r="FH21" s="331"/>
      <c r="FI21" s="331"/>
      <c r="FJ21" s="331"/>
      <c r="FK21" s="331"/>
      <c r="FL21" s="331"/>
      <c r="FM21" s="331"/>
      <c r="FN21" s="331"/>
      <c r="FO21" s="331"/>
      <c r="FP21" s="331"/>
      <c r="FQ21" s="331"/>
      <c r="FR21" s="331"/>
      <c r="FS21" s="331"/>
      <c r="FT21" s="331"/>
      <c r="FU21" s="331"/>
      <c r="FV21" s="331"/>
      <c r="FW21" s="331"/>
      <c r="FX21" s="331"/>
      <c r="FY21" s="331"/>
      <c r="FZ21" s="331"/>
      <c r="GA21" s="331"/>
      <c r="GB21" s="331"/>
      <c r="GC21" s="331"/>
      <c r="GD21" s="331"/>
      <c r="GE21" s="331"/>
      <c r="GF21" s="331"/>
      <c r="GG21" s="331"/>
      <c r="GH21" s="331"/>
      <c r="GI21" s="331"/>
      <c r="GJ21" s="331"/>
      <c r="GK21" s="331"/>
      <c r="GL21" s="331"/>
      <c r="GM21" s="331"/>
      <c r="GN21" s="331"/>
      <c r="GO21" s="331"/>
      <c r="GP21" s="331"/>
      <c r="GQ21" s="331"/>
      <c r="GR21" s="331"/>
      <c r="GS21" s="331"/>
      <c r="GT21" s="331"/>
      <c r="GU21" s="331"/>
      <c r="GV21" s="331"/>
      <c r="GW21" s="331"/>
      <c r="GX21" s="331"/>
      <c r="GY21" s="331"/>
      <c r="GZ21" s="331"/>
      <c r="HA21" s="331"/>
      <c r="HB21" s="331"/>
      <c r="HC21" s="331"/>
      <c r="HD21" s="331"/>
      <c r="HE21" s="331"/>
      <c r="HF21" s="331"/>
      <c r="HG21" s="331"/>
      <c r="HH21" s="331"/>
      <c r="HI21" s="331"/>
      <c r="HJ21" s="331"/>
      <c r="HK21" s="331"/>
      <c r="HL21" s="331"/>
      <c r="HM21" s="331"/>
      <c r="HN21" s="331"/>
      <c r="HO21" s="331"/>
      <c r="HP21" s="331"/>
      <c r="HQ21" s="331"/>
      <c r="HR21" s="331"/>
      <c r="HS21" s="331"/>
      <c r="HT21" s="331"/>
      <c r="HU21" s="331"/>
      <c r="HV21" s="331"/>
      <c r="HW21" s="331"/>
      <c r="HX21" s="331"/>
      <c r="HY21" s="331"/>
      <c r="HZ21" s="331"/>
      <c r="IA21" s="331"/>
      <c r="IB21" s="331"/>
      <c r="IC21" s="331"/>
      <c r="ID21" s="331"/>
      <c r="IE21" s="331"/>
      <c r="IF21" s="331"/>
      <c r="IG21" s="331"/>
      <c r="IH21" s="331"/>
      <c r="II21" s="331"/>
      <c r="IJ21" s="331"/>
      <c r="IK21" s="331"/>
      <c r="IL21" s="331"/>
      <c r="IM21" s="331"/>
      <c r="IN21" s="331"/>
      <c r="IO21" s="331"/>
      <c r="IP21" s="331"/>
      <c r="IQ21" s="331"/>
      <c r="IR21" s="331"/>
    </row>
    <row r="22" spans="1:252">
      <c r="C22" s="292"/>
      <c r="D22" s="334"/>
      <c r="E22" s="334"/>
      <c r="F22" s="334"/>
      <c r="G22" s="334"/>
      <c r="H22" s="334"/>
      <c r="I22" s="334"/>
      <c r="J22" s="334"/>
      <c r="K22" s="334"/>
      <c r="L22" s="334"/>
      <c r="M22" s="334"/>
      <c r="N22" s="334"/>
      <c r="O22" s="334"/>
      <c r="P22" s="334"/>
      <c r="Q22" s="334"/>
      <c r="R22" s="334"/>
      <c r="S22" s="334"/>
      <c r="T22" s="334"/>
      <c r="U22" s="334"/>
      <c r="V22" s="334"/>
      <c r="W22" s="334"/>
      <c r="X22" s="334"/>
      <c r="Y22" s="334"/>
      <c r="Z22" s="334"/>
      <c r="AA22" s="334"/>
      <c r="AB22" s="334"/>
      <c r="AC22" s="334"/>
      <c r="AD22" s="334"/>
      <c r="AE22" s="334"/>
      <c r="AF22" s="334"/>
      <c r="AG22" s="334"/>
      <c r="AH22" s="334"/>
      <c r="AI22" s="334"/>
      <c r="AJ22" s="334"/>
      <c r="AK22" s="334"/>
      <c r="AL22" s="334"/>
      <c r="AM22" s="334"/>
      <c r="AN22" s="334"/>
      <c r="AO22" s="334"/>
      <c r="AP22" s="334"/>
      <c r="AQ22" s="334"/>
      <c r="AR22" s="334"/>
      <c r="AS22" s="334"/>
      <c r="AT22" s="334"/>
      <c r="AU22" s="334"/>
      <c r="AV22" s="334"/>
      <c r="AW22" s="334"/>
      <c r="AX22" s="334"/>
      <c r="AY22" s="334"/>
      <c r="AZ22" s="334"/>
      <c r="BA22" s="334"/>
      <c r="BB22" s="334"/>
      <c r="BC22" s="334"/>
      <c r="BD22" s="334"/>
      <c r="BE22" s="334"/>
      <c r="BF22" s="334"/>
      <c r="BG22" s="334"/>
      <c r="BH22" s="334"/>
      <c r="BI22" s="334"/>
      <c r="BJ22" s="334"/>
      <c r="BK22" s="334"/>
      <c r="IR22" s="316"/>
    </row>
    <row r="23" spans="1:252">
      <c r="B23" s="316" t="str">
        <f>'Balance Sheet'!E8</f>
        <v>Inventory</v>
      </c>
      <c r="C23" s="292"/>
      <c r="D23" s="334">
        <f ca="1">'Balance Sheet'!J8</f>
        <v>0</v>
      </c>
      <c r="E23" s="334">
        <f ca="1">'Balance Sheet'!K8</f>
        <v>0</v>
      </c>
      <c r="F23" s="334">
        <f ca="1">'Balance Sheet'!L8</f>
        <v>350000</v>
      </c>
      <c r="G23" s="334">
        <f ca="1">'Balance Sheet'!M8</f>
        <v>700000</v>
      </c>
      <c r="H23" s="334">
        <f ca="1">'Balance Sheet'!N8</f>
        <v>1050000</v>
      </c>
      <c r="I23" s="334">
        <f ca="1">'Balance Sheet'!O8</f>
        <v>1050000</v>
      </c>
      <c r="J23" s="334">
        <f ca="1">'Balance Sheet'!P8</f>
        <v>1400000</v>
      </c>
      <c r="K23" s="334">
        <f ca="1">'Balance Sheet'!Q8</f>
        <v>1400000</v>
      </c>
      <c r="L23" s="334">
        <f ca="1">'Balance Sheet'!R8</f>
        <v>1750000</v>
      </c>
      <c r="M23" s="334">
        <f ca="1">'Balance Sheet'!S8</f>
        <v>1750000</v>
      </c>
      <c r="N23" s="334">
        <f ca="1">'Balance Sheet'!T8</f>
        <v>1750000</v>
      </c>
      <c r="O23" s="334">
        <f ca="1">'Balance Sheet'!U8</f>
        <v>1750000</v>
      </c>
      <c r="P23" s="334">
        <f ca="1">'Balance Sheet'!V8</f>
        <v>1750000</v>
      </c>
      <c r="Q23" s="334">
        <f ca="1">'Balance Sheet'!W8</f>
        <v>1750000</v>
      </c>
      <c r="R23" s="334">
        <f ca="1">'Balance Sheet'!X8</f>
        <v>1925000</v>
      </c>
      <c r="S23" s="334">
        <f ca="1">'Balance Sheet'!Y8</f>
        <v>2100000</v>
      </c>
      <c r="T23" s="334">
        <f ca="1">'Balance Sheet'!Z8</f>
        <v>2275000</v>
      </c>
      <c r="U23" s="334">
        <f ca="1">'Balance Sheet'!AA8</f>
        <v>2625000</v>
      </c>
      <c r="V23" s="334">
        <f ca="1">'Balance Sheet'!AB8</f>
        <v>2800000</v>
      </c>
      <c r="W23" s="334">
        <f ca="1">'Balance Sheet'!AC8</f>
        <v>3150000</v>
      </c>
      <c r="X23" s="334">
        <f ca="1">'Balance Sheet'!AD8</f>
        <v>3325000</v>
      </c>
      <c r="Y23" s="334">
        <f ca="1">'Balance Sheet'!AE8</f>
        <v>3675000</v>
      </c>
      <c r="Z23" s="334">
        <f ca="1">'Balance Sheet'!AF8</f>
        <v>4025000</v>
      </c>
      <c r="AA23" s="334">
        <f ca="1">'Balance Sheet'!AG8</f>
        <v>4375000</v>
      </c>
      <c r="AB23" s="334">
        <f ca="1">'Balance Sheet'!AH8</f>
        <v>4690000</v>
      </c>
      <c r="AC23" s="334">
        <f ca="1">'Balance Sheet'!AI8</f>
        <v>5180000</v>
      </c>
      <c r="AD23" s="334">
        <f ca="1">'Balance Sheet'!AJ8</f>
        <v>5495000</v>
      </c>
      <c r="AE23" s="334">
        <f ca="1">'Balance Sheet'!AK8</f>
        <v>5985000</v>
      </c>
      <c r="AF23" s="334">
        <f ca="1">'Balance Sheet'!AL8</f>
        <v>6405000</v>
      </c>
      <c r="AG23" s="334">
        <f ca="1">'Balance Sheet'!AM8</f>
        <v>7000000</v>
      </c>
      <c r="AH23" s="334">
        <f ca="1">'Balance Sheet'!AN8</f>
        <v>7420000</v>
      </c>
      <c r="AI23" s="334">
        <f ca="1">'Balance Sheet'!AO8</f>
        <v>7945000</v>
      </c>
      <c r="AJ23" s="334">
        <f ca="1">'Balance Sheet'!AP8</f>
        <v>8645000</v>
      </c>
      <c r="AK23" s="334">
        <f ca="1">'Balance Sheet'!AQ8</f>
        <v>9170000</v>
      </c>
      <c r="AL23" s="334">
        <f ca="1">'Balance Sheet'!AR8</f>
        <v>9870000</v>
      </c>
      <c r="AM23" s="334">
        <f ca="1">'Balance Sheet'!AS8</f>
        <v>10570000</v>
      </c>
      <c r="AN23" s="334">
        <f ca="1">'Balance Sheet'!AT8</f>
        <v>11259593.958487123</v>
      </c>
      <c r="AO23" s="334">
        <f ca="1">'Balance Sheet'!AU8</f>
        <v>11938163.100032983</v>
      </c>
      <c r="AP23" s="334">
        <f ca="1">'Balance Sheet'!AV8</f>
        <v>12780051.854907507</v>
      </c>
      <c r="AQ23" s="334">
        <f ca="1">'Balance Sheet'!AW8</f>
        <v>13609565.671175905</v>
      </c>
      <c r="AR23" s="334">
        <f ca="1">'Balance Sheet'!AX8</f>
        <v>14600968.696696149</v>
      </c>
      <c r="AS23" s="334">
        <f ca="1">'Balance Sheet'!AY8</f>
        <v>15578481.323280858</v>
      </c>
      <c r="AT23" s="334">
        <f ca="1">'Balance Sheet'!AZ8</f>
        <v>16541277.584827438</v>
      </c>
      <c r="AU23" s="334">
        <f ca="1">'Balance Sheet'!BA8</f>
        <v>17663482.400733002</v>
      </c>
      <c r="AV23" s="334">
        <f ca="1">'Balance Sheet'!BB8</f>
        <v>18769168.6553942</v>
      </c>
      <c r="AW23" s="334">
        <f ca="1">'Balance Sheet'!BC8</f>
        <v>20032354.104045082</v>
      </c>
      <c r="AX23" s="334">
        <f ca="1">'Balance Sheet'!BD8</f>
        <v>21276998.094606489</v>
      </c>
      <c r="AY23" s="334">
        <f ca="1">'Balance Sheet'!BE8</f>
        <v>22676998.094606489</v>
      </c>
      <c r="AZ23" s="334">
        <f ca="1">'Balance Sheet'!BF8</f>
        <v>24024686.011580735</v>
      </c>
      <c r="BA23" s="334">
        <f ca="1">'Balance Sheet'!BG8</f>
        <v>25525324.294672456</v>
      </c>
      <c r="BB23" s="334">
        <f ca="1">'Balance Sheet'!BH8</f>
        <v>27177601.804421503</v>
      </c>
      <c r="BC23" s="334">
        <f ca="1">'Balance Sheet'!BI8</f>
        <v>28805129.436958298</v>
      </c>
      <c r="BD23" s="334">
        <f ca="1">'Balance Sheet'!BJ8</f>
        <v>30518435.487998787</v>
      </c>
      <c r="BE23" s="334">
        <f ca="1">'Balance Sheet'!BK8</f>
        <v>32378960.741168205</v>
      </c>
      <c r="BF23" s="334">
        <f ca="1">'Balance Sheet'!BL8</f>
        <v>34385053.264261365</v>
      </c>
      <c r="BG23" s="334">
        <f ca="1">'Balance Sheet'!BM8</f>
        <v>36296962.896072492</v>
      </c>
      <c r="BH23" s="334">
        <f ca="1">'Balance Sheet'!BN8</f>
        <v>38525835.405394889</v>
      </c>
      <c r="BI23" s="334">
        <f ca="1">'Balance Sheet'!BO8</f>
        <v>40719706.302696653</v>
      </c>
      <c r="BJ23" s="334">
        <f ca="1">'Balance Sheet'!BP8</f>
        <v>43226494.283819467</v>
      </c>
      <c r="BK23" s="334">
        <f ca="1">'Balance Sheet'!BQ8</f>
        <v>45868994.283819467</v>
      </c>
      <c r="IR23" s="316"/>
    </row>
    <row r="24" spans="1:252">
      <c r="B24" s="316" t="str">
        <f>'Balance Sheet'!E9</f>
        <v xml:space="preserve">Depreciation </v>
      </c>
      <c r="C24" s="292"/>
      <c r="D24" s="334">
        <f ca="1">'Balance Sheet'!J9</f>
        <v>0</v>
      </c>
      <c r="E24" s="334">
        <f ca="1">'Balance Sheet'!K9</f>
        <v>-7291.666666666667</v>
      </c>
      <c r="F24" s="334">
        <f ca="1">'Balance Sheet'!L9</f>
        <v>0</v>
      </c>
      <c r="G24" s="334">
        <f ca="1">'Balance Sheet'!M9</f>
        <v>7291.666666666667</v>
      </c>
      <c r="H24" s="334">
        <f ca="1">'Balance Sheet'!N9</f>
        <v>14583.333333333334</v>
      </c>
      <c r="I24" s="334">
        <f ca="1">'Balance Sheet'!O9</f>
        <v>-7291.6666666666661</v>
      </c>
      <c r="J24" s="334">
        <f ca="1">'Balance Sheet'!P9</f>
        <v>-14583.333333333332</v>
      </c>
      <c r="K24" s="334">
        <f ca="1">'Balance Sheet'!Q9</f>
        <v>-36458.333333333328</v>
      </c>
      <c r="L24" s="334">
        <f ca="1">'Balance Sheet'!R9</f>
        <v>-43749.999999999993</v>
      </c>
      <c r="M24" s="334">
        <f ca="1">'Balance Sheet'!S9</f>
        <v>-80208.333333333328</v>
      </c>
      <c r="N24" s="334">
        <f ca="1">'Balance Sheet'!T9</f>
        <v>-116666.66666666666</v>
      </c>
      <c r="O24" s="334">
        <f ca="1">'Balance Sheet'!U9</f>
        <v>-167708.33333333331</v>
      </c>
      <c r="P24" s="334">
        <f ca="1">'Balance Sheet'!V9</f>
        <v>-233333.33333333331</v>
      </c>
      <c r="Q24" s="334">
        <f ca="1">'Balance Sheet'!W9</f>
        <v>-298958.33333333331</v>
      </c>
      <c r="R24" s="334">
        <f ca="1">'Balance Sheet'!X9</f>
        <v>-371875</v>
      </c>
      <c r="S24" s="334">
        <f ca="1">'Balance Sheet'!Y9</f>
        <v>-444791.66666666669</v>
      </c>
      <c r="T24" s="334">
        <f ca="1">'Balance Sheet'!Z9</f>
        <v>-517708.33333333337</v>
      </c>
      <c r="U24" s="334">
        <f ca="1">'Balance Sheet'!AA9</f>
        <v>-583333.33333333337</v>
      </c>
      <c r="V24" s="334">
        <f ca="1">'Balance Sheet'!AB9</f>
        <v>-656250</v>
      </c>
      <c r="W24" s="334">
        <f ca="1">'Balance Sheet'!AC9</f>
        <v>-721875</v>
      </c>
      <c r="X24" s="334">
        <f ca="1">'Balance Sheet'!AD9</f>
        <v>-802083.33333333337</v>
      </c>
      <c r="Y24" s="334">
        <f ca="1">'Balance Sheet'!AE9</f>
        <v>-882291.66666666674</v>
      </c>
      <c r="Z24" s="334">
        <f ca="1">'Balance Sheet'!AF9</f>
        <v>-969791.66666666674</v>
      </c>
      <c r="AA24" s="334">
        <f ca="1">'Balance Sheet'!AG9</f>
        <v>-1071875</v>
      </c>
      <c r="AB24" s="334">
        <f ca="1">'Balance Sheet'!AH9</f>
        <v>-1146250</v>
      </c>
      <c r="AC24" s="334">
        <f ca="1">'Balance Sheet'!AI9</f>
        <v>-1226458.3333333333</v>
      </c>
      <c r="AD24" s="334">
        <f ca="1">'Balance Sheet'!AJ9</f>
        <v>-1319791.6666666665</v>
      </c>
      <c r="AE24" s="334">
        <f ca="1">'Balance Sheet'!AK9</f>
        <v>-1418958.3333333333</v>
      </c>
      <c r="AF24" s="334">
        <f ca="1">'Balance Sheet'!AL9</f>
        <v>-1461250</v>
      </c>
      <c r="AG24" s="334">
        <f ca="1">'Balance Sheet'!AM9</f>
        <v>-1506458.3333333333</v>
      </c>
      <c r="AH24" s="334">
        <f ca="1">'Balance Sheet'!AN9</f>
        <v>-1569166.6666666665</v>
      </c>
      <c r="AI24" s="334">
        <f ca="1">'Balance Sheet'!AO9</f>
        <v>-1572083.3333333333</v>
      </c>
      <c r="AJ24" s="334">
        <f ca="1">'Balance Sheet'!AP9</f>
        <v>-1575000</v>
      </c>
      <c r="AK24" s="334">
        <f ca="1">'Balance Sheet'!AQ9</f>
        <v>-1599791.6666666667</v>
      </c>
      <c r="AL24" s="334">
        <f ca="1">'Balance Sheet'!AR9</f>
        <v>-1631875</v>
      </c>
      <c r="AM24" s="334">
        <f ca="1">'Balance Sheet'!AS9</f>
        <v>-1685833.3333333333</v>
      </c>
      <c r="AN24" s="334">
        <f ca="1">'Balance Sheet'!AT9</f>
        <v>-1743968.9584871233</v>
      </c>
      <c r="AO24" s="334">
        <f ca="1">'Balance Sheet'!AU9</f>
        <v>-1812521.1816366133</v>
      </c>
      <c r="AP24" s="334">
        <f ca="1">'Balance Sheet'!AV9</f>
        <v>-1890375.0656791781</v>
      </c>
      <c r="AQ24" s="334">
        <f ca="1">'Balance Sheet'!AW9</f>
        <v>-1976349.3759020546</v>
      </c>
      <c r="AR24" s="334">
        <f ca="1">'Balance Sheet'!AX9</f>
        <v>-2069192.6377212948</v>
      </c>
      <c r="AS24" s="334">
        <f ca="1">'Balance Sheet'!AY9</f>
        <v>-2174870.6266683424</v>
      </c>
      <c r="AT24" s="334">
        <f ca="1">'Balance Sheet'!AZ9</f>
        <v>-2291978.610018292</v>
      </c>
      <c r="AU24" s="334">
        <f ca="1">'Balance Sheet'!BA9</f>
        <v>-2411736.6586250002</v>
      </c>
      <c r="AV24" s="334">
        <f ca="1">'Balance Sheet'!BB9</f>
        <v>-2547151.3466500752</v>
      </c>
      <c r="AW24" s="334">
        <f ca="1">'Balance Sheet'!BC9</f>
        <v>-2689260.4892757148</v>
      </c>
      <c r="AX24" s="334">
        <f ca="1">'Balance Sheet'!BD9</f>
        <v>-2850877.567505667</v>
      </c>
      <c r="AY24" s="334">
        <f ca="1">'Balance Sheet'!BE9</f>
        <v>-3022835.8214476039</v>
      </c>
      <c r="AZ24" s="334">
        <f ca="1">'Balance Sheet'!BF9</f>
        <v>-3178940.3256971207</v>
      </c>
      <c r="BA24" s="334">
        <f ca="1">'Balance Sheet'!BG9</f>
        <v>-3347273.8592713708</v>
      </c>
      <c r="BB24" s="334">
        <f ca="1">'Balance Sheet'!BH9</f>
        <v>-3525606.5479651038</v>
      </c>
      <c r="BC24" s="334">
        <f ca="1">'Balance Sheet'!BI9</f>
        <v>-3726159.2556861276</v>
      </c>
      <c r="BD24" s="334">
        <f ca="1">'Balance Sheet'!BJ9</f>
        <v>-3876137.3665998778</v>
      </c>
      <c r="BE24" s="334">
        <f ca="1">'Balance Sheet'!BK9</f>
        <v>-4040555.7651025774</v>
      </c>
      <c r="BF24" s="334">
        <f ca="1">'Balance Sheet'!BL9</f>
        <v>-4216604.9857444139</v>
      </c>
      <c r="BG24" s="334">
        <f ca="1">'Balance Sheet'!BM9</f>
        <v>-4352891.8368997676</v>
      </c>
      <c r="BH24" s="334">
        <f ca="1">'Balance Sheet'!BN9</f>
        <v>-4499346.133558521</v>
      </c>
      <c r="BI24" s="334">
        <f ca="1">'Balance Sheet'!BO9</f>
        <v>-4667210.1727517368</v>
      </c>
      <c r="BJ24" s="334">
        <f ca="1">'Balance Sheet'!BP9</f>
        <v>-4845652.5831535785</v>
      </c>
      <c r="BK24" s="334">
        <f ca="1">'Balance Sheet'!BQ9</f>
        <v>-5045506.5116460565</v>
      </c>
      <c r="IR24" s="316"/>
    </row>
    <row r="25" spans="1:252" s="336" customFormat="1">
      <c r="A25" s="316"/>
      <c r="B25" s="316" t="str">
        <f>'Balance Sheet'!E10</f>
        <v>Debtors</v>
      </c>
      <c r="C25" s="292"/>
      <c r="D25" s="334">
        <f ca="1">'Balance Sheet'!J10</f>
        <v>0</v>
      </c>
      <c r="E25" s="334">
        <f ca="1">'Balance Sheet'!K10</f>
        <v>0</v>
      </c>
      <c r="F25" s="334">
        <f ca="1">'Balance Sheet'!L10</f>
        <v>1008000</v>
      </c>
      <c r="G25" s="334">
        <f ca="1">'Balance Sheet'!M10</f>
        <v>1512000</v>
      </c>
      <c r="H25" s="334">
        <f ca="1">'Balance Sheet'!N10</f>
        <v>1008000</v>
      </c>
      <c r="I25" s="334">
        <f ca="1">'Balance Sheet'!O10</f>
        <v>1008000</v>
      </c>
      <c r="J25" s="334">
        <f ca="1">'Balance Sheet'!P10</f>
        <v>3024000</v>
      </c>
      <c r="K25" s="334">
        <f ca="1">'Balance Sheet'!Q10</f>
        <v>4032000</v>
      </c>
      <c r="L25" s="334">
        <f ca="1">'Balance Sheet'!R10</f>
        <v>2520000</v>
      </c>
      <c r="M25" s="334">
        <f ca="1">'Balance Sheet'!S10</f>
        <v>1008000</v>
      </c>
      <c r="N25" s="334">
        <f ca="1">'Balance Sheet'!T10</f>
        <v>5040000</v>
      </c>
      <c r="O25" s="334">
        <f ca="1">'Balance Sheet'!U10</f>
        <v>5040000</v>
      </c>
      <c r="P25" s="334">
        <f ca="1">'Balance Sheet'!V10</f>
        <v>5040000</v>
      </c>
      <c r="Q25" s="334">
        <f ca="1">'Balance Sheet'!W10</f>
        <v>9221846.997785423</v>
      </c>
      <c r="R25" s="334">
        <f ca="1">'Balance Sheet'!X10</f>
        <v>6048000</v>
      </c>
      <c r="S25" s="334">
        <f ca="1">'Balance Sheet'!Y10</f>
        <v>7337406.2915464751</v>
      </c>
      <c r="T25" s="334">
        <f ca="1">'Balance Sheet'!Z10</f>
        <v>6048000</v>
      </c>
      <c r="U25" s="334">
        <f ca="1">'Balance Sheet'!AA10</f>
        <v>1080746.710668101</v>
      </c>
      <c r="V25" s="334">
        <f ca="1">'Balance Sheet'!AB10</f>
        <v>3024000.0000000005</v>
      </c>
      <c r="W25" s="334">
        <f ca="1">'Balance Sheet'!AC10</f>
        <v>4032000</v>
      </c>
      <c r="X25" s="334">
        <f ca="1">'Balance Sheet'!AD10</f>
        <v>2520000</v>
      </c>
      <c r="Y25" s="334">
        <f ca="1">'Balance Sheet'!AE10</f>
        <v>3528000</v>
      </c>
      <c r="Z25" s="334">
        <f ca="1">'Balance Sheet'!AF10</f>
        <v>10080000</v>
      </c>
      <c r="AA25" s="334">
        <f ca="1">'Balance Sheet'!AG10</f>
        <v>10080000</v>
      </c>
      <c r="AB25" s="334">
        <f ca="1">'Balance Sheet'!AH10</f>
        <v>12600000</v>
      </c>
      <c r="AC25" s="334">
        <f ca="1">'Balance Sheet'!AI10</f>
        <v>16781846.997785427</v>
      </c>
      <c r="AD25" s="334">
        <f ca="1">'Balance Sheet'!AJ10</f>
        <v>12600000</v>
      </c>
      <c r="AE25" s="334">
        <f ca="1">'Balance Sheet'!AK10</f>
        <v>13385406.291546475</v>
      </c>
      <c r="AF25" s="334">
        <f ca="1">'Balance Sheet'!AL10</f>
        <v>12600000</v>
      </c>
      <c r="AG25" s="334">
        <f ca="1">'Balance Sheet'!AM10</f>
        <v>10152746.710668102</v>
      </c>
      <c r="AH25" s="334">
        <f ca="1">'Balance Sheet'!AN10</f>
        <v>10080000</v>
      </c>
      <c r="AI25" s="334">
        <f ca="1">'Balance Sheet'!AO10</f>
        <v>10080000</v>
      </c>
      <c r="AJ25" s="334">
        <f ca="1">'Balance Sheet'!AP10</f>
        <v>12600000</v>
      </c>
      <c r="AK25" s="334">
        <f ca="1">'Balance Sheet'!AQ10</f>
        <v>15120000</v>
      </c>
      <c r="AL25" s="334">
        <f ca="1">'Balance Sheet'!AR10</f>
        <v>17640000</v>
      </c>
      <c r="AM25" s="334">
        <f ca="1">'Balance Sheet'!AS10</f>
        <v>20160000</v>
      </c>
      <c r="AN25" s="334">
        <f ca="1">'Balance Sheet'!AT10</f>
        <v>25200000</v>
      </c>
      <c r="AO25" s="334">
        <f ca="1">'Balance Sheet'!AU10</f>
        <v>25200000</v>
      </c>
      <c r="AP25" s="334">
        <f ca="1">'Balance Sheet'!AV10</f>
        <v>25200000</v>
      </c>
      <c r="AQ25" s="334">
        <f ca="1">'Balance Sheet'!AW10</f>
        <v>30240000</v>
      </c>
      <c r="AR25" s="334">
        <f ca="1">'Balance Sheet'!AX10</f>
        <v>30240000</v>
      </c>
      <c r="AS25" s="334">
        <f ca="1">'Balance Sheet'!AY10</f>
        <v>32760000</v>
      </c>
      <c r="AT25" s="334">
        <f ca="1">'Balance Sheet'!AZ10</f>
        <v>35280000</v>
      </c>
      <c r="AU25" s="334">
        <f ca="1">'Balance Sheet'!BA10</f>
        <v>35280000</v>
      </c>
      <c r="AV25" s="334">
        <f ca="1">'Balance Sheet'!BB10</f>
        <v>37800000</v>
      </c>
      <c r="AW25" s="334">
        <f ca="1">'Balance Sheet'!BC10</f>
        <v>40320000</v>
      </c>
      <c r="AX25" s="334">
        <f ca="1">'Balance Sheet'!BD10</f>
        <v>42840000</v>
      </c>
      <c r="AY25" s="334">
        <f ca="1">'Balance Sheet'!BE10</f>
        <v>47880000</v>
      </c>
      <c r="AZ25" s="334">
        <f ca="1">'Balance Sheet'!BF10</f>
        <v>52920000</v>
      </c>
      <c r="BA25" s="334">
        <f ca="1">'Balance Sheet'!BG10</f>
        <v>52920000</v>
      </c>
      <c r="BB25" s="334">
        <f ca="1">'Balance Sheet'!BH10</f>
        <v>55440000</v>
      </c>
      <c r="BC25" s="334">
        <f ca="1">'Balance Sheet'!BI10</f>
        <v>63000000</v>
      </c>
      <c r="BD25" s="334">
        <f ca="1">'Balance Sheet'!BJ10</f>
        <v>65520000</v>
      </c>
      <c r="BE25" s="334">
        <f ca="1">'Balance Sheet'!BK10</f>
        <v>68040000</v>
      </c>
      <c r="BF25" s="334">
        <f ca="1">'Balance Sheet'!BL10</f>
        <v>73080000</v>
      </c>
      <c r="BG25" s="334">
        <f ca="1">'Balance Sheet'!BM10</f>
        <v>75600000</v>
      </c>
      <c r="BH25" s="334">
        <f ca="1">'Balance Sheet'!BN10</f>
        <v>78120000</v>
      </c>
      <c r="BI25" s="334">
        <f ca="1">'Balance Sheet'!BO10</f>
        <v>85680000</v>
      </c>
      <c r="BJ25" s="334">
        <f ca="1">'Balance Sheet'!BP10</f>
        <v>90720000</v>
      </c>
      <c r="BK25" s="334">
        <f ca="1">'Balance Sheet'!BQ10</f>
        <v>95760000</v>
      </c>
      <c r="BL25" s="316"/>
      <c r="BM25" s="316"/>
      <c r="BN25" s="316"/>
      <c r="BO25" s="316"/>
      <c r="BP25" s="316"/>
      <c r="BQ25" s="316"/>
      <c r="BR25" s="316"/>
      <c r="BS25" s="316"/>
      <c r="BT25" s="316"/>
      <c r="BU25" s="316"/>
      <c r="BV25" s="316"/>
      <c r="BW25" s="316"/>
      <c r="BX25" s="316"/>
      <c r="BY25" s="316"/>
      <c r="BZ25" s="316"/>
      <c r="CA25" s="316"/>
      <c r="CB25" s="316"/>
      <c r="CC25" s="316"/>
      <c r="CD25" s="316"/>
      <c r="CE25" s="316"/>
      <c r="CF25" s="316"/>
      <c r="CG25" s="316"/>
      <c r="CH25" s="316"/>
      <c r="CI25" s="316"/>
      <c r="CJ25" s="316"/>
      <c r="CK25" s="316"/>
      <c r="CL25" s="316"/>
      <c r="CM25" s="316"/>
      <c r="CN25" s="316"/>
      <c r="CO25" s="316"/>
      <c r="CP25" s="316"/>
      <c r="CQ25" s="316"/>
      <c r="CR25" s="316"/>
      <c r="CS25" s="316"/>
      <c r="CT25" s="316"/>
      <c r="CU25" s="316"/>
      <c r="CV25" s="316"/>
      <c r="CW25" s="316"/>
      <c r="CX25" s="316"/>
      <c r="CY25" s="316"/>
      <c r="CZ25" s="316"/>
      <c r="DA25" s="316"/>
      <c r="DB25" s="316"/>
      <c r="DC25" s="316"/>
      <c r="DD25" s="316"/>
      <c r="DE25" s="316"/>
      <c r="DF25" s="316"/>
      <c r="DG25" s="316"/>
      <c r="DH25" s="316"/>
      <c r="DI25" s="316"/>
      <c r="DJ25" s="316"/>
      <c r="DK25" s="316"/>
      <c r="DL25" s="316"/>
      <c r="DM25" s="316"/>
      <c r="DN25" s="316"/>
      <c r="DO25" s="316"/>
      <c r="DP25" s="316"/>
      <c r="DQ25" s="316"/>
      <c r="DR25" s="316"/>
      <c r="DS25" s="316"/>
      <c r="DT25" s="316"/>
      <c r="DU25" s="316"/>
      <c r="DV25" s="316"/>
      <c r="DW25" s="316"/>
      <c r="DX25" s="316"/>
      <c r="DY25" s="316"/>
      <c r="DZ25" s="316"/>
      <c r="EA25" s="316"/>
      <c r="EB25" s="316"/>
      <c r="EC25" s="316"/>
      <c r="ED25" s="316"/>
      <c r="EE25" s="316"/>
      <c r="EF25" s="316"/>
      <c r="EG25" s="316"/>
      <c r="EH25" s="316"/>
      <c r="EI25" s="316"/>
      <c r="EJ25" s="316"/>
      <c r="EK25" s="316"/>
      <c r="EL25" s="316"/>
      <c r="EM25" s="316"/>
      <c r="EN25" s="316"/>
      <c r="EO25" s="316"/>
      <c r="EP25" s="316"/>
      <c r="EQ25" s="316"/>
      <c r="ER25" s="316"/>
      <c r="ES25" s="316"/>
      <c r="ET25" s="316"/>
      <c r="EU25" s="316"/>
      <c r="EV25" s="316"/>
      <c r="EW25" s="316"/>
      <c r="EX25" s="316"/>
      <c r="EY25" s="316"/>
      <c r="EZ25" s="316"/>
      <c r="FA25" s="316"/>
      <c r="FB25" s="316"/>
      <c r="FC25" s="316"/>
      <c r="FD25" s="316"/>
      <c r="FE25" s="316"/>
      <c r="FF25" s="316"/>
      <c r="FG25" s="316"/>
      <c r="FH25" s="316"/>
      <c r="FI25" s="316"/>
      <c r="FJ25" s="316"/>
      <c r="FK25" s="316"/>
      <c r="FL25" s="316"/>
      <c r="FM25" s="316"/>
      <c r="FN25" s="316"/>
      <c r="FO25" s="316"/>
      <c r="FP25" s="316"/>
      <c r="FQ25" s="316"/>
      <c r="FR25" s="316"/>
      <c r="FS25" s="316"/>
      <c r="FT25" s="316"/>
      <c r="FU25" s="316"/>
      <c r="FV25" s="316"/>
      <c r="FW25" s="316"/>
      <c r="FX25" s="316"/>
      <c r="FY25" s="316"/>
      <c r="FZ25" s="316"/>
      <c r="GA25" s="316"/>
      <c r="GB25" s="316"/>
      <c r="GC25" s="316"/>
      <c r="GD25" s="316"/>
      <c r="GE25" s="316"/>
      <c r="GF25" s="316"/>
      <c r="GG25" s="316"/>
      <c r="GH25" s="316"/>
      <c r="GI25" s="316"/>
      <c r="GJ25" s="316"/>
      <c r="GK25" s="316"/>
      <c r="GL25" s="316"/>
      <c r="GM25" s="316"/>
      <c r="GN25" s="316"/>
      <c r="GO25" s="316"/>
      <c r="GP25" s="316"/>
      <c r="GQ25" s="316"/>
      <c r="GR25" s="316"/>
      <c r="GS25" s="316"/>
      <c r="GT25" s="316"/>
      <c r="GU25" s="316"/>
      <c r="GV25" s="316"/>
      <c r="GW25" s="316"/>
      <c r="GX25" s="316"/>
      <c r="GY25" s="316"/>
      <c r="GZ25" s="316"/>
      <c r="HA25" s="316"/>
      <c r="HB25" s="316"/>
      <c r="HC25" s="316"/>
      <c r="HD25" s="316"/>
      <c r="HE25" s="316"/>
      <c r="HF25" s="316"/>
      <c r="HG25" s="316"/>
      <c r="HH25" s="316"/>
      <c r="HI25" s="316"/>
      <c r="HJ25" s="316"/>
      <c r="HK25" s="316"/>
      <c r="HL25" s="316"/>
      <c r="HM25" s="316"/>
      <c r="HN25" s="316"/>
      <c r="HO25" s="316"/>
      <c r="HP25" s="316"/>
      <c r="HQ25" s="316"/>
      <c r="HR25" s="316"/>
      <c r="HS25" s="316"/>
      <c r="HT25" s="316"/>
      <c r="HU25" s="316"/>
      <c r="HV25" s="316"/>
      <c r="HW25" s="316"/>
      <c r="HX25" s="316"/>
      <c r="HY25" s="316"/>
      <c r="HZ25" s="316"/>
      <c r="IA25" s="316"/>
      <c r="IB25" s="316"/>
      <c r="IC25" s="316"/>
      <c r="ID25" s="316"/>
      <c r="IE25" s="316"/>
      <c r="IF25" s="316"/>
      <c r="IG25" s="316"/>
      <c r="IH25" s="316"/>
      <c r="II25" s="316"/>
      <c r="IJ25" s="316"/>
      <c r="IK25" s="316"/>
      <c r="IL25" s="316"/>
      <c r="IM25" s="316"/>
      <c r="IN25" s="316"/>
      <c r="IO25" s="316"/>
      <c r="IP25" s="316"/>
      <c r="IQ25" s="316"/>
      <c r="IR25" s="316"/>
    </row>
    <row r="26" spans="1:252">
      <c r="B26" s="316" t="str">
        <f>'Balance Sheet'!E11</f>
        <v>Cash</v>
      </c>
      <c r="C26" s="292"/>
      <c r="D26" s="334">
        <f ca="1">'Balance Sheet'!J11</f>
        <v>-73700</v>
      </c>
      <c r="E26" s="334">
        <f ca="1">'Balance Sheet'!K11</f>
        <v>-147400</v>
      </c>
      <c r="F26" s="334">
        <f ca="1">'Balance Sheet'!L11</f>
        <v>-312700</v>
      </c>
      <c r="G26" s="334">
        <f ca="1">'Balance Sheet'!M11</f>
        <v>-492068.6425364801</v>
      </c>
      <c r="H26" s="334">
        <f ca="1">'Balance Sheet'!N11</f>
        <v>244162.71492703981</v>
      </c>
      <c r="I26" s="334">
        <f ca="1">'Balance Sheet'!O11</f>
        <v>484015.64376082883</v>
      </c>
      <c r="J26" s="334">
        <f ca="1">'Balance Sheet'!P11</f>
        <v>715562.10112999263</v>
      </c>
      <c r="K26" s="334">
        <f ca="1">'Balance Sheet'!Q11</f>
        <v>959708.5584991565</v>
      </c>
      <c r="L26" s="334">
        <f ca="1">'Balance Sheet'!R11</f>
        <v>2188861.9002136067</v>
      </c>
      <c r="M26" s="334">
        <f ca="1">'Balance Sheet'!S11</f>
        <v>3146306.8046398209</v>
      </c>
      <c r="N26" s="334">
        <f ca="1">'Balance Sheet'!T11</f>
        <v>3599751.7090660352</v>
      </c>
      <c r="O26" s="334">
        <f ca="1">'Balance Sheet'!U11</f>
        <v>2472193.3165630135</v>
      </c>
      <c r="P26" s="334">
        <f ca="1">'Balance Sheet'!V11</f>
        <v>6943207.3417660166</v>
      </c>
      <c r="Q26" s="334">
        <f ca="1">'Balance Sheet'!W11</f>
        <v>6653668.6086065518</v>
      </c>
      <c r="R26" s="334">
        <f ca="1">'Balance Sheet'!X11</f>
        <v>9580244.5202764049</v>
      </c>
      <c r="S26" s="334">
        <f ca="1">'Balance Sheet'!Y11</f>
        <v>12231591.544738874</v>
      </c>
      <c r="T26" s="334">
        <f ca="1">'Balance Sheet'!Z11</f>
        <v>13705908.012009982</v>
      </c>
      <c r="U26" s="334">
        <f ca="1">'Balance Sheet'!AA11</f>
        <v>17588311.54576759</v>
      </c>
      <c r="V26" s="334">
        <f ca="1">'Balance Sheet'!AB11</f>
        <v>17734708.372612521</v>
      </c>
      <c r="W26" s="334">
        <f ca="1">'Balance Sheet'!AC11</f>
        <v>17735277.780543208</v>
      </c>
      <c r="X26" s="334">
        <f ca="1">'Balance Sheet'!AD11</f>
        <v>19157629.263761412</v>
      </c>
      <c r="Y26" s="334">
        <f ca="1">'Balance Sheet'!AE11</f>
        <v>19973519.934109382</v>
      </c>
      <c r="Z26" s="334">
        <f ca="1">'Balance Sheet'!AF11</f>
        <v>20260935.879779249</v>
      </c>
      <c r="AA26" s="334">
        <f ca="1">'Balance Sheet'!AG11</f>
        <v>20335597.073989335</v>
      </c>
      <c r="AB26" s="334">
        <f ca="1">'Balance Sheet'!AH11</f>
        <v>27079267.230614197</v>
      </c>
      <c r="AC26" s="334">
        <f ca="1">'Balance Sheet'!AI11</f>
        <v>28554331.870514121</v>
      </c>
      <c r="AD26" s="334">
        <f ca="1">'Balance Sheet'!AJ11</f>
        <v>34936293.001365945</v>
      </c>
      <c r="AE26" s="334">
        <f ca="1">'Balance Sheet'!AK11</f>
        <v>36059591.215472765</v>
      </c>
      <c r="AF26" s="334">
        <f ca="1">'Balance Sheet'!AL11</f>
        <v>40730721.930600643</v>
      </c>
      <c r="AG26" s="334">
        <f ca="1">'Balance Sheet'!AM11</f>
        <v>44285806.203606084</v>
      </c>
      <c r="AH26" s="334">
        <f ca="1">'Balance Sheet'!AN11</f>
        <v>48095180.752578296</v>
      </c>
      <c r="AI26" s="334">
        <f ca="1">'Balance Sheet'!AO11</f>
        <v>51507987.174390122</v>
      </c>
      <c r="AJ26" s="334">
        <f ca="1">'Balance Sheet'!AP11</f>
        <v>53076708.11089506</v>
      </c>
      <c r="AK26" s="334">
        <f ca="1">'Balance Sheet'!AQ11</f>
        <v>56398853.127755851</v>
      </c>
      <c r="AL26" s="334">
        <f ca="1">'Balance Sheet'!AR11</f>
        <v>62139548.695260428</v>
      </c>
      <c r="AM26" s="334">
        <f ca="1">'Balance Sheet'!AS11</f>
        <v>64262517.036365427</v>
      </c>
      <c r="AN26" s="334">
        <f ca="1">'Balance Sheet'!AT11</f>
        <v>72403205.87197195</v>
      </c>
      <c r="AO26" s="334">
        <f ca="1">'Balance Sheet'!AU11</f>
        <v>80325586.191602379</v>
      </c>
      <c r="AP26" s="334">
        <f ca="1">'Balance Sheet'!AV11</f>
        <v>87995244.625909925</v>
      </c>
      <c r="AQ26" s="334">
        <f ca="1">'Balance Sheet'!AW11</f>
        <v>86275039.658933625</v>
      </c>
      <c r="AR26" s="334">
        <f ca="1">'Balance Sheet'!AX11</f>
        <v>98744140.135362491</v>
      </c>
      <c r="AS26" s="334">
        <f ca="1">'Balance Sheet'!AY11</f>
        <v>104627912.68183477</v>
      </c>
      <c r="AT26" s="334">
        <f ca="1">'Balance Sheet'!AZ11</f>
        <v>116911073.59388338</v>
      </c>
      <c r="AU26" s="334">
        <f ca="1">'Balance Sheet'!BA11</f>
        <v>131560889.0355259</v>
      </c>
      <c r="AV26" s="334">
        <f ca="1">'Balance Sheet'!BB11</f>
        <v>138380295.72033033</v>
      </c>
      <c r="AW26" s="334">
        <f ca="1">'Balance Sheet'!BC11</f>
        <v>152609638.81596532</v>
      </c>
      <c r="AX26" s="334">
        <f ca="1">'Balance Sheet'!BD11</f>
        <v>169092055.76067761</v>
      </c>
      <c r="AY26" s="334">
        <f ca="1">'Balance Sheet'!BE11</f>
        <v>176366212.33554223</v>
      </c>
      <c r="AZ26" s="334">
        <f ca="1">'Balance Sheet'!BF11</f>
        <v>195053534.93091604</v>
      </c>
      <c r="BA26" s="334">
        <f ca="1">'Balance Sheet'!BG11</f>
        <v>215918740.49433768</v>
      </c>
      <c r="BB26" s="334">
        <f ca="1">'Balance Sheet'!BH11</f>
        <v>227831086.05100104</v>
      </c>
      <c r="BC26" s="334">
        <f ca="1">'Balance Sheet'!BI11</f>
        <v>226204622.19156826</v>
      </c>
      <c r="BD26" s="334">
        <f ca="1">'Balance Sheet'!BJ11</f>
        <v>251376068.41005829</v>
      </c>
      <c r="BE26" s="334">
        <f ca="1">'Balance Sheet'!BK11</f>
        <v>264813228.27268738</v>
      </c>
      <c r="BF26" s="334">
        <f ca="1">'Balance Sheet'!BL11</f>
        <v>291881615.1468361</v>
      </c>
      <c r="BG26" s="334">
        <f ca="1">'Balance Sheet'!BM11</f>
        <v>321121311.08017266</v>
      </c>
      <c r="BH26" s="334">
        <f ca="1">'Balance Sheet'!BN11</f>
        <v>336412837.19385707</v>
      </c>
      <c r="BI26" s="334">
        <f ca="1">'Balance Sheet'!BO11</f>
        <v>367479439.15008116</v>
      </c>
      <c r="BJ26" s="334">
        <f ca="1">'Balance Sheet'!BP11</f>
        <v>400574188.80445975</v>
      </c>
      <c r="BK26" s="334">
        <f ca="1">'Balance Sheet'!BQ11</f>
        <v>419383336.21187401</v>
      </c>
      <c r="BS26" s="327"/>
      <c r="BT26" s="327"/>
      <c r="BU26" s="327"/>
      <c r="BV26" s="327"/>
      <c r="BW26" s="327"/>
      <c r="BX26" s="327"/>
      <c r="BY26" s="327"/>
      <c r="BZ26" s="327"/>
      <c r="CA26" s="327"/>
      <c r="CB26" s="327"/>
      <c r="CC26" s="327"/>
      <c r="CD26" s="327"/>
      <c r="CE26" s="327"/>
      <c r="CF26" s="327"/>
      <c r="CG26" s="327"/>
      <c r="CH26" s="327"/>
      <c r="CI26" s="327"/>
      <c r="CJ26" s="327"/>
      <c r="CK26" s="327"/>
      <c r="CL26" s="327"/>
      <c r="CM26" s="327"/>
      <c r="CN26" s="327"/>
      <c r="CO26" s="327"/>
      <c r="CP26" s="327"/>
      <c r="CQ26" s="327"/>
      <c r="CR26" s="327"/>
      <c r="CS26" s="327"/>
      <c r="CT26" s="327"/>
      <c r="CU26" s="327"/>
      <c r="CV26" s="327"/>
      <c r="CW26" s="327"/>
      <c r="CX26" s="327"/>
      <c r="CY26" s="327"/>
      <c r="CZ26" s="327"/>
      <c r="DA26" s="327"/>
      <c r="DB26" s="327"/>
      <c r="DC26" s="327"/>
      <c r="DD26" s="327"/>
      <c r="DE26" s="327"/>
      <c r="DF26" s="327"/>
      <c r="DG26" s="327"/>
      <c r="DH26" s="327"/>
      <c r="DI26" s="327"/>
      <c r="DJ26" s="327"/>
      <c r="DK26" s="327"/>
      <c r="DL26" s="327"/>
      <c r="DM26" s="327"/>
      <c r="DN26" s="327"/>
      <c r="DO26" s="327"/>
      <c r="DP26" s="327"/>
      <c r="DQ26" s="327"/>
      <c r="DR26" s="327"/>
      <c r="DS26" s="327"/>
      <c r="DT26" s="327"/>
      <c r="DU26" s="327"/>
      <c r="DV26" s="327"/>
      <c r="DW26" s="327"/>
      <c r="DX26" s="327"/>
      <c r="DY26" s="327"/>
      <c r="DZ26" s="327"/>
      <c r="EA26" s="327"/>
      <c r="EB26" s="327"/>
      <c r="EC26" s="327"/>
      <c r="ED26" s="327"/>
      <c r="EE26" s="327"/>
      <c r="EF26" s="327"/>
      <c r="EG26" s="327"/>
      <c r="EH26" s="327"/>
      <c r="EI26" s="327"/>
      <c r="EJ26" s="327"/>
      <c r="EK26" s="327"/>
      <c r="EL26" s="327"/>
      <c r="EM26" s="327"/>
      <c r="EN26" s="327"/>
      <c r="EO26" s="327"/>
      <c r="EP26" s="327"/>
      <c r="EQ26" s="327"/>
      <c r="ER26" s="327"/>
      <c r="ES26" s="327"/>
      <c r="ET26" s="327"/>
      <c r="EU26" s="327"/>
      <c r="EV26" s="327"/>
      <c r="EW26" s="327"/>
      <c r="EX26" s="327"/>
      <c r="EY26" s="327"/>
      <c r="EZ26" s="327"/>
      <c r="FA26" s="327"/>
      <c r="FB26" s="327"/>
      <c r="FC26" s="327"/>
      <c r="FD26" s="327"/>
      <c r="FE26" s="327"/>
      <c r="FF26" s="327"/>
      <c r="FG26" s="327"/>
      <c r="FH26" s="327"/>
      <c r="FI26" s="327"/>
      <c r="FJ26" s="327"/>
      <c r="FK26" s="327"/>
      <c r="FL26" s="327"/>
      <c r="FM26" s="327"/>
      <c r="FN26" s="327"/>
      <c r="FO26" s="327"/>
      <c r="FP26" s="327"/>
      <c r="FQ26" s="327"/>
      <c r="FR26" s="327"/>
      <c r="FS26" s="327"/>
      <c r="FT26" s="327"/>
      <c r="FU26" s="327"/>
      <c r="FV26" s="327"/>
      <c r="FW26" s="327"/>
      <c r="FX26" s="327"/>
      <c r="FY26" s="327"/>
      <c r="FZ26" s="327"/>
      <c r="GA26" s="327"/>
      <c r="GB26" s="327"/>
      <c r="GC26" s="327"/>
      <c r="GD26" s="327"/>
      <c r="GE26" s="327"/>
      <c r="GF26" s="327"/>
      <c r="GG26" s="327"/>
      <c r="GH26" s="327"/>
      <c r="GI26" s="327"/>
      <c r="GJ26" s="327"/>
      <c r="GK26" s="327"/>
      <c r="GL26" s="327"/>
      <c r="GM26" s="327"/>
      <c r="GN26" s="327"/>
      <c r="GO26" s="327"/>
      <c r="GP26" s="327"/>
      <c r="GQ26" s="327"/>
      <c r="GR26" s="327"/>
      <c r="GS26" s="327"/>
      <c r="GT26" s="327"/>
      <c r="GU26" s="327"/>
      <c r="GV26" s="327"/>
      <c r="GW26" s="327"/>
      <c r="GX26" s="327"/>
      <c r="GY26" s="327"/>
      <c r="GZ26" s="327"/>
      <c r="HA26" s="327"/>
      <c r="HB26" s="327"/>
      <c r="HC26" s="327"/>
      <c r="HD26" s="327"/>
      <c r="HE26" s="327"/>
      <c r="HF26" s="327"/>
      <c r="HG26" s="327"/>
      <c r="HH26" s="327"/>
      <c r="HI26" s="327"/>
      <c r="HJ26" s="327"/>
      <c r="HK26" s="327"/>
      <c r="HL26" s="327"/>
      <c r="HM26" s="327"/>
      <c r="HN26" s="327"/>
      <c r="HO26" s="327"/>
      <c r="HP26" s="327"/>
      <c r="HQ26" s="327"/>
      <c r="HR26" s="327"/>
      <c r="HS26" s="327"/>
      <c r="HT26" s="327"/>
      <c r="HU26" s="327"/>
      <c r="HV26" s="327"/>
      <c r="HW26" s="327"/>
      <c r="HX26" s="327"/>
      <c r="HY26" s="327"/>
      <c r="HZ26" s="327"/>
      <c r="IA26" s="327"/>
      <c r="IB26" s="327"/>
      <c r="IC26" s="327"/>
      <c r="ID26" s="327"/>
      <c r="IE26" s="327"/>
      <c r="IF26" s="327"/>
      <c r="IG26" s="327"/>
      <c r="IH26" s="327"/>
      <c r="II26" s="327"/>
      <c r="IJ26" s="327"/>
      <c r="IK26" s="327"/>
      <c r="IL26" s="327"/>
      <c r="IM26" s="327"/>
      <c r="IN26" s="327"/>
      <c r="IO26" s="327"/>
      <c r="IP26" s="327"/>
      <c r="IQ26" s="327"/>
      <c r="IR26" s="327"/>
    </row>
    <row r="27" spans="1:252">
      <c r="B27" s="327" t="str">
        <f>'Balance Sheet'!E12</f>
        <v>Assets</v>
      </c>
      <c r="C27" s="323"/>
      <c r="D27" s="335">
        <f ca="1">'Balance Sheet'!J12</f>
        <v>-73700</v>
      </c>
      <c r="E27" s="335">
        <f ca="1">'Balance Sheet'!K12</f>
        <v>-154691.66666666666</v>
      </c>
      <c r="F27" s="335">
        <f ca="1">'Balance Sheet'!L12</f>
        <v>1045300</v>
      </c>
      <c r="G27" s="335">
        <f ca="1">'Balance Sheet'!M12</f>
        <v>1727223.0241301865</v>
      </c>
      <c r="H27" s="335">
        <f ca="1">'Balance Sheet'!N12</f>
        <v>2316746.0482603731</v>
      </c>
      <c r="I27" s="335">
        <f ca="1">'Balance Sheet'!O12</f>
        <v>2534723.9770941623</v>
      </c>
      <c r="J27" s="335">
        <f ca="1">'Balance Sheet'!P12</f>
        <v>5124978.7677966598</v>
      </c>
      <c r="K27" s="335">
        <f ca="1">'Balance Sheet'!Q12</f>
        <v>6355250.2251658235</v>
      </c>
      <c r="L27" s="335">
        <f ca="1">'Balance Sheet'!R12</f>
        <v>6415111.9002136067</v>
      </c>
      <c r="M27" s="335">
        <f ca="1">'Balance Sheet'!S12</f>
        <v>5824098.4713064879</v>
      </c>
      <c r="N27" s="335">
        <f ca="1">'Balance Sheet'!T12</f>
        <v>10273085.042399369</v>
      </c>
      <c r="O27" s="335">
        <f ca="1">'Balance Sheet'!U12</f>
        <v>9094484.98322968</v>
      </c>
      <c r="P27" s="335">
        <f ca="1">'Balance Sheet'!V12</f>
        <v>13499874.008432683</v>
      </c>
      <c r="Q27" s="335">
        <f ca="1">'Balance Sheet'!W12</f>
        <v>17326557.273058642</v>
      </c>
      <c r="R27" s="335">
        <f ca="1">'Balance Sheet'!X12</f>
        <v>17181369.520276405</v>
      </c>
      <c r="S27" s="335">
        <f ca="1">'Balance Sheet'!Y12</f>
        <v>21224206.169618681</v>
      </c>
      <c r="T27" s="335">
        <f ca="1">'Balance Sheet'!Z12</f>
        <v>21511199.67867665</v>
      </c>
      <c r="U27" s="335">
        <f ca="1">'Balance Sheet'!AA12</f>
        <v>20710724.923102356</v>
      </c>
      <c r="V27" s="335">
        <f ca="1">'Balance Sheet'!AB12</f>
        <v>22902458.372612521</v>
      </c>
      <c r="W27" s="335">
        <f ca="1">'Balance Sheet'!AC12</f>
        <v>24195402.780543208</v>
      </c>
      <c r="X27" s="335">
        <f ca="1">'Balance Sheet'!AD12</f>
        <v>24200545.93042808</v>
      </c>
      <c r="Y27" s="335">
        <f ca="1">'Balance Sheet'!AE12</f>
        <v>26294228.267442714</v>
      </c>
      <c r="Z27" s="335">
        <f ca="1">'Balance Sheet'!AF12</f>
        <v>33396144.213112582</v>
      </c>
      <c r="AA27" s="335">
        <f ca="1">'Balance Sheet'!AG12</f>
        <v>33718722.073989332</v>
      </c>
      <c r="AB27" s="335">
        <f ca="1">'Balance Sheet'!AH12</f>
        <v>43223017.2306142</v>
      </c>
      <c r="AC27" s="335">
        <f ca="1">'Balance Sheet'!AI12</f>
        <v>49289720.534966215</v>
      </c>
      <c r="AD27" s="335">
        <f ca="1">'Balance Sheet'!AJ12</f>
        <v>51711501.334699281</v>
      </c>
      <c r="AE27" s="335">
        <f ca="1">'Balance Sheet'!AK12</f>
        <v>54011039.173685908</v>
      </c>
      <c r="AF27" s="335">
        <f ca="1">'Balance Sheet'!AL12</f>
        <v>58274471.930600643</v>
      </c>
      <c r="AG27" s="335">
        <f ca="1">'Balance Sheet'!AM12</f>
        <v>59932094.580940858</v>
      </c>
      <c r="AH27" s="335">
        <f ca="1">'Balance Sheet'!AN12</f>
        <v>64026014.085911632</v>
      </c>
      <c r="AI27" s="335">
        <f ca="1">'Balance Sheet'!AO12</f>
        <v>67960903.841056794</v>
      </c>
      <c r="AJ27" s="335">
        <f ca="1">'Balance Sheet'!AP12</f>
        <v>72746708.110895067</v>
      </c>
      <c r="AK27" s="335">
        <f ca="1">'Balance Sheet'!AQ12</f>
        <v>79089061.461089179</v>
      </c>
      <c r="AL27" s="335">
        <f ca="1">'Balance Sheet'!AR12</f>
        <v>88017673.695260435</v>
      </c>
      <c r="AM27" s="335">
        <f ca="1">'Balance Sheet'!AS12</f>
        <v>93306683.703032091</v>
      </c>
      <c r="AN27" s="335">
        <f ca="1">'Balance Sheet'!AT12</f>
        <v>107118830.87197195</v>
      </c>
      <c r="AO27" s="335">
        <f ca="1">'Balance Sheet'!AU12</f>
        <v>115651228.10999875</v>
      </c>
      <c r="AP27" s="335">
        <f ca="1">'Balance Sheet'!AV12</f>
        <v>124084921.41513824</v>
      </c>
      <c r="AQ27" s="335">
        <f ca="1">'Balance Sheet'!AW12</f>
        <v>128148255.95420748</v>
      </c>
      <c r="AR27" s="335">
        <f ca="1">'Balance Sheet'!AX12</f>
        <v>141515916.19433734</v>
      </c>
      <c r="AS27" s="335">
        <f ca="1">'Balance Sheet'!AY12</f>
        <v>150791523.37844729</v>
      </c>
      <c r="AT27" s="335">
        <f ca="1">'Balance Sheet'!AZ12</f>
        <v>166440372.56869254</v>
      </c>
      <c r="AU27" s="335">
        <f ca="1">'Balance Sheet'!BA12</f>
        <v>182092634.77763391</v>
      </c>
      <c r="AV27" s="335">
        <f ca="1">'Balance Sheet'!BB12</f>
        <v>192402313.02907446</v>
      </c>
      <c r="AW27" s="335">
        <f ca="1">'Balance Sheet'!BC12</f>
        <v>210272732.43073469</v>
      </c>
      <c r="AX27" s="335">
        <f ca="1">'Balance Sheet'!BD12</f>
        <v>230358176.28777844</v>
      </c>
      <c r="AY27" s="335">
        <f ca="1">'Balance Sheet'!BE12</f>
        <v>243900374.60870111</v>
      </c>
      <c r="AZ27" s="335">
        <f ca="1">'Balance Sheet'!BF12</f>
        <v>268819280.61679965</v>
      </c>
      <c r="BA27" s="335">
        <f ca="1">'Balance Sheet'!BG12</f>
        <v>291016790.92973876</v>
      </c>
      <c r="BB27" s="335">
        <f ca="1">'Balance Sheet'!BH12</f>
        <v>306923081.30745745</v>
      </c>
      <c r="BC27" s="335">
        <f ca="1">'Balance Sheet'!BI12</f>
        <v>314283592.3728404</v>
      </c>
      <c r="BD27" s="335">
        <f ca="1">'Balance Sheet'!BJ12</f>
        <v>343538366.53145719</v>
      </c>
      <c r="BE27" s="335">
        <f ca="1">'Balance Sheet'!BK12</f>
        <v>361191633.24875301</v>
      </c>
      <c r="BF27" s="335">
        <f ca="1">'Balance Sheet'!BL12</f>
        <v>395130063.42535305</v>
      </c>
      <c r="BG27" s="335">
        <f ca="1">'Balance Sheet'!BM12</f>
        <v>428665382.13934541</v>
      </c>
      <c r="BH27" s="335">
        <f ca="1">'Balance Sheet'!BN12</f>
        <v>448559326.46569347</v>
      </c>
      <c r="BI27" s="335">
        <f ca="1">'Balance Sheet'!BO12</f>
        <v>489211935.28002608</v>
      </c>
      <c r="BJ27" s="335">
        <f ca="1">'Balance Sheet'!BP12</f>
        <v>529675030.50512564</v>
      </c>
      <c r="BK27" s="335">
        <f ca="1">'Balance Sheet'!BQ12</f>
        <v>555966823.98404741</v>
      </c>
      <c r="IR27" s="316"/>
    </row>
    <row r="28" spans="1:252">
      <c r="C28" s="292"/>
      <c r="D28" s="334"/>
      <c r="E28" s="334"/>
      <c r="F28" s="334"/>
      <c r="G28" s="334"/>
      <c r="H28" s="334"/>
      <c r="I28" s="334"/>
      <c r="J28" s="334"/>
      <c r="K28" s="334"/>
      <c r="L28" s="334"/>
      <c r="M28" s="334"/>
      <c r="N28" s="334"/>
      <c r="O28" s="334"/>
      <c r="P28" s="334"/>
      <c r="Q28" s="334"/>
      <c r="R28" s="334"/>
      <c r="S28" s="334"/>
      <c r="T28" s="334"/>
      <c r="U28" s="334"/>
      <c r="V28" s="334"/>
      <c r="W28" s="334"/>
      <c r="X28" s="334"/>
      <c r="Y28" s="334"/>
      <c r="Z28" s="334"/>
      <c r="AA28" s="334"/>
      <c r="AB28" s="334"/>
      <c r="AC28" s="334"/>
      <c r="AD28" s="334"/>
      <c r="AE28" s="334"/>
      <c r="AF28" s="334"/>
      <c r="AG28" s="334"/>
      <c r="AH28" s="334"/>
      <c r="AI28" s="334"/>
      <c r="AJ28" s="334"/>
      <c r="AK28" s="334"/>
      <c r="AL28" s="334"/>
      <c r="AM28" s="334"/>
      <c r="AN28" s="334"/>
      <c r="AO28" s="334"/>
      <c r="AP28" s="334"/>
      <c r="AQ28" s="334"/>
      <c r="AR28" s="334"/>
      <c r="AS28" s="334"/>
      <c r="AT28" s="334"/>
      <c r="AU28" s="334"/>
      <c r="AV28" s="334"/>
      <c r="AW28" s="334"/>
      <c r="AX28" s="334"/>
      <c r="AY28" s="334"/>
      <c r="AZ28" s="334"/>
      <c r="BA28" s="334"/>
      <c r="BB28" s="334"/>
      <c r="BC28" s="334"/>
      <c r="BD28" s="334"/>
      <c r="BE28" s="334"/>
      <c r="BF28" s="334"/>
      <c r="BG28" s="334"/>
      <c r="BH28" s="334"/>
      <c r="BI28" s="334"/>
      <c r="BJ28" s="334"/>
      <c r="BK28" s="334"/>
      <c r="IR28" s="316"/>
    </row>
    <row r="29" spans="1:252">
      <c r="B29" s="316" t="str">
        <f>'Balance Sheet'!E14</f>
        <v>Deferred Income</v>
      </c>
      <c r="C29" s="292"/>
      <c r="D29" s="334">
        <f ca="1">'Balance Sheet'!J14</f>
        <v>0</v>
      </c>
      <c r="E29" s="334">
        <f ca="1">'Balance Sheet'!K14</f>
        <v>0</v>
      </c>
      <c r="F29" s="334">
        <f ca="1">'Balance Sheet'!L14</f>
        <v>770000</v>
      </c>
      <c r="G29" s="334">
        <f ca="1">'Balance Sheet'!M14</f>
        <v>1085000</v>
      </c>
      <c r="H29" s="334">
        <f ca="1">'Balance Sheet'!N14</f>
        <v>1365000</v>
      </c>
      <c r="I29" s="334">
        <f ca="1">'Balance Sheet'!O14</f>
        <v>1610000</v>
      </c>
      <c r="J29" s="334">
        <f ca="1">'Balance Sheet'!P14</f>
        <v>3360000</v>
      </c>
      <c r="K29" s="334">
        <f ca="1">'Balance Sheet'!Q14</f>
        <v>4165000</v>
      </c>
      <c r="L29" s="334">
        <f ca="1">'Balance Sheet'!R14</f>
        <v>4480000</v>
      </c>
      <c r="M29" s="334">
        <f ca="1">'Balance Sheet'!S14</f>
        <v>3955000</v>
      </c>
      <c r="N29" s="334">
        <f ca="1">'Balance Sheet'!T14</f>
        <v>7280000</v>
      </c>
      <c r="O29" s="334">
        <f ca="1">'Balance Sheet'!U14</f>
        <v>6405000</v>
      </c>
      <c r="P29" s="334">
        <f ca="1">'Balance Sheet'!V14</f>
        <v>9380000</v>
      </c>
      <c r="Q29" s="334">
        <f ca="1">'Balance Sheet'!W14</f>
        <v>11349466.456641642</v>
      </c>
      <c r="R29" s="334">
        <f ca="1">'Balance Sheet'!X14</f>
        <v>11329593.958487123</v>
      </c>
      <c r="S29" s="334">
        <f ca="1">'Balance Sheet'!Y14</f>
        <v>13969023.554504545</v>
      </c>
      <c r="T29" s="334">
        <f ca="1">'Balance Sheet'!Z14</f>
        <v>12524645.813394628</v>
      </c>
      <c r="U29" s="334">
        <f ca="1">'Balance Sheet'!AA14</f>
        <v>11019645.813394628</v>
      </c>
      <c r="V29" s="334">
        <f ca="1">'Balance Sheet'!AB14</f>
        <v>11194645.813394628</v>
      </c>
      <c r="W29" s="334">
        <f ca="1">'Balance Sheet'!AC14</f>
        <v>10529645.813394628</v>
      </c>
      <c r="X29" s="334">
        <f ca="1">'Balance Sheet'!AD14</f>
        <v>9444645.8133946285</v>
      </c>
      <c r="Y29" s="334">
        <f ca="1">'Balance Sheet'!AE14</f>
        <v>9444645.8133946285</v>
      </c>
      <c r="Z29" s="334">
        <f ca="1">'Balance Sheet'!AF14</f>
        <v>13469645.813394628</v>
      </c>
      <c r="AA29" s="334">
        <f ca="1">'Balance Sheet'!AG14</f>
        <v>13119645.813394628</v>
      </c>
      <c r="AB29" s="334">
        <f ca="1">'Balance Sheet'!AH14</f>
        <v>18754645.813394628</v>
      </c>
      <c r="AC29" s="334">
        <f ca="1">'Balance Sheet'!AI14</f>
        <v>21434518.311549149</v>
      </c>
      <c r="AD29" s="334">
        <f ca="1">'Balance Sheet'!AJ14</f>
        <v>23129645.813394628</v>
      </c>
      <c r="AE29" s="334">
        <f ca="1">'Balance Sheet'!AK14</f>
        <v>26009023.554504544</v>
      </c>
      <c r="AF29" s="334">
        <f ca="1">'Balance Sheet'!AL14</f>
        <v>26664645.813394628</v>
      </c>
      <c r="AG29" s="334">
        <f ca="1">'Balance Sheet'!AM14</f>
        <v>27014645.813394628</v>
      </c>
      <c r="AH29" s="334">
        <f ca="1">'Balance Sheet'!AN14</f>
        <v>27119645.813394628</v>
      </c>
      <c r="AI29" s="334">
        <f ca="1">'Balance Sheet'!AO14</f>
        <v>27049645.813394628</v>
      </c>
      <c r="AJ29" s="334">
        <f ca="1">'Balance Sheet'!AP14</f>
        <v>28729645.813394628</v>
      </c>
      <c r="AK29" s="334">
        <f ca="1">'Balance Sheet'!AQ14</f>
        <v>30234645.813394628</v>
      </c>
      <c r="AL29" s="334">
        <f ca="1">'Balance Sheet'!AR14</f>
        <v>33489645.813394628</v>
      </c>
      <c r="AM29" s="334">
        <f ca="1">'Balance Sheet'!AS14</f>
        <v>36394645.813394628</v>
      </c>
      <c r="AN29" s="334">
        <f ca="1">'Balance Sheet'!AT14</f>
        <v>42985051.854907505</v>
      </c>
      <c r="AO29" s="334">
        <f ca="1">'Balance Sheet'!AU14</f>
        <v>45046888.75487452</v>
      </c>
      <c r="AP29" s="334">
        <f ca="1">'Balance Sheet'!AV14</f>
        <v>50816836.899967015</v>
      </c>
      <c r="AQ29" s="334">
        <f ca="1">'Balance Sheet'!AW14</f>
        <v>55932271.22879111</v>
      </c>
      <c r="AR29" s="334">
        <f ca="1">'Balance Sheet'!AX14</f>
        <v>60581302.53209497</v>
      </c>
      <c r="AS29" s="334">
        <f ca="1">'Balance Sheet'!AY14</f>
        <v>66702821.208814114</v>
      </c>
      <c r="AT29" s="334">
        <f ca="1">'Balance Sheet'!AZ14</f>
        <v>72211543.623986676</v>
      </c>
      <c r="AU29" s="334">
        <f ca="1">'Balance Sheet'!BA14</f>
        <v>77123061.223253667</v>
      </c>
      <c r="AV29" s="334">
        <f ca="1">'Balance Sheet'!BB14</f>
        <v>83553892.567859471</v>
      </c>
      <c r="AW29" s="334">
        <f ca="1">'Balance Sheet'!BC14</f>
        <v>89246538.463814378</v>
      </c>
      <c r="AX29" s="334">
        <f ca="1">'Balance Sheet'!BD14</f>
        <v>96319540.369207889</v>
      </c>
      <c r="AY29" s="334">
        <f ca="1">'Balance Sheet'!BE14</f>
        <v>104617542.2746014</v>
      </c>
      <c r="AZ29" s="334">
        <f ca="1">'Balance Sheet'!BF14</f>
        <v>114192856.26302066</v>
      </c>
      <c r="BA29" s="334">
        <f ca="1">'Balance Sheet'!BG14</f>
        <v>120867531.96834821</v>
      </c>
      <c r="BB29" s="334">
        <f ca="1">'Balance Sheet'!BH14</f>
        <v>130789930.16392669</v>
      </c>
      <c r="BC29" s="334">
        <f ca="1">'Balance Sheet'!BI14</f>
        <v>141884800.72696838</v>
      </c>
      <c r="BD29" s="334">
        <f ca="1">'Balance Sheet'!BJ14</f>
        <v>151966365.23896959</v>
      </c>
      <c r="BE29" s="334">
        <f ca="1">'Balance Sheet'!BK14</f>
        <v>163162404.49780139</v>
      </c>
      <c r="BF29" s="334">
        <f ca="1">'Balance Sheet'!BL14</f>
        <v>175327351.23354003</v>
      </c>
      <c r="BG29" s="334">
        <f ca="1">'Balance Sheet'!BM14</f>
        <v>186455388.33746752</v>
      </c>
      <c r="BH29" s="334">
        <f ca="1">'Balance Sheet'!BN14</f>
        <v>198504552.93207264</v>
      </c>
      <c r="BI29" s="334">
        <f ca="1">'Balance Sheet'!BO14</f>
        <v>213434846.62937599</v>
      </c>
      <c r="BJ29" s="334">
        <f ca="1">'Balance Sheet'!BP14</f>
        <v>227083352.34555653</v>
      </c>
      <c r="BK29" s="334">
        <f ca="1">'Balance Sheet'!BQ14</f>
        <v>243514358.06173703</v>
      </c>
      <c r="IR29" s="316"/>
    </row>
    <row r="30" spans="1:252">
      <c r="B30" s="316" t="str">
        <f>'Balance Sheet'!E15</f>
        <v>Creditors</v>
      </c>
      <c r="C30" s="292"/>
      <c r="D30" s="334">
        <f ca="1">'Balance Sheet'!J15</f>
        <v>0</v>
      </c>
      <c r="E30" s="334">
        <f ca="1">'Balance Sheet'!K15</f>
        <v>0</v>
      </c>
      <c r="F30" s="334">
        <f ca="1">'Balance Sheet'!L15</f>
        <v>315000</v>
      </c>
      <c r="G30" s="334">
        <f ca="1">'Balance Sheet'!M15</f>
        <v>630000</v>
      </c>
      <c r="H30" s="334">
        <f ca="1">'Balance Sheet'!N15</f>
        <v>944999.99999999988</v>
      </c>
      <c r="I30" s="334">
        <f ca="1">'Balance Sheet'!O15</f>
        <v>944999.99999999988</v>
      </c>
      <c r="J30" s="334">
        <f ca="1">'Balance Sheet'!P15</f>
        <v>1260000</v>
      </c>
      <c r="K30" s="334">
        <f ca="1">'Balance Sheet'!Q15</f>
        <v>1260000</v>
      </c>
      <c r="L30" s="334">
        <f ca="1">'Balance Sheet'!R15</f>
        <v>1281000</v>
      </c>
      <c r="M30" s="334">
        <f ca="1">'Balance Sheet'!S15</f>
        <v>986999.99999999977</v>
      </c>
      <c r="N30" s="334">
        <f ca="1">'Balance Sheet'!T15</f>
        <v>692999.99999999977</v>
      </c>
      <c r="O30" s="334">
        <f ca="1">'Balance Sheet'!U15</f>
        <v>692999.99999999977</v>
      </c>
      <c r="P30" s="334">
        <f ca="1">'Balance Sheet'!V15</f>
        <v>398999.99999999994</v>
      </c>
      <c r="Q30" s="334">
        <f ca="1">'Balance Sheet'!W15</f>
        <v>399000</v>
      </c>
      <c r="R30" s="334">
        <f ca="1">'Balance Sheet'!X15</f>
        <v>262500</v>
      </c>
      <c r="S30" s="334">
        <f ca="1">'Balance Sheet'!Y15</f>
        <v>420000</v>
      </c>
      <c r="T30" s="334">
        <f ca="1">'Balance Sheet'!Z15</f>
        <v>577500</v>
      </c>
      <c r="U30" s="334">
        <f ca="1">'Balance Sheet'!AA15</f>
        <v>892500</v>
      </c>
      <c r="V30" s="334">
        <f ca="1">'Balance Sheet'!AB15</f>
        <v>1050000.0000000002</v>
      </c>
      <c r="W30" s="334">
        <f ca="1">'Balance Sheet'!AC15</f>
        <v>1365000</v>
      </c>
      <c r="X30" s="334">
        <f ca="1">'Balance Sheet'!AD15</f>
        <v>1375500</v>
      </c>
      <c r="Y30" s="334">
        <f ca="1">'Balance Sheet'!AE15</f>
        <v>1543500</v>
      </c>
      <c r="Z30" s="334">
        <f ca="1">'Balance Sheet'!AF15</f>
        <v>1711499.9999999995</v>
      </c>
      <c r="AA30" s="334">
        <f ca="1">'Balance Sheet'!AG15</f>
        <v>1732499.9999999998</v>
      </c>
      <c r="AB30" s="334">
        <f ca="1">'Balance Sheet'!AH15</f>
        <v>1900500</v>
      </c>
      <c r="AC30" s="334">
        <f ca="1">'Balance Sheet'!AI15</f>
        <v>2078999.9999999998</v>
      </c>
      <c r="AD30" s="334">
        <f ca="1">'Balance Sheet'!AJ15</f>
        <v>2247000</v>
      </c>
      <c r="AE30" s="334">
        <f ca="1">'Balance Sheet'!AK15</f>
        <v>2425500</v>
      </c>
      <c r="AF30" s="334">
        <f ca="1">'Balance Sheet'!AL15</f>
        <v>2604000</v>
      </c>
      <c r="AG30" s="334">
        <f ca="1">'Balance Sheet'!AM15</f>
        <v>2940000</v>
      </c>
      <c r="AH30" s="334">
        <f ca="1">'Balance Sheet'!AN15</f>
        <v>3118499.9999999995</v>
      </c>
      <c r="AI30" s="334">
        <f ca="1">'Balance Sheet'!AO15</f>
        <v>3307499.9999999995</v>
      </c>
      <c r="AJ30" s="334">
        <f ca="1">'Balance Sheet'!AP15</f>
        <v>3800999.9999999995</v>
      </c>
      <c r="AK30" s="334">
        <f ca="1">'Balance Sheet'!AQ15</f>
        <v>3990000.0000000009</v>
      </c>
      <c r="AL30" s="334">
        <f ca="1">'Balance Sheet'!AR15</f>
        <v>4336500</v>
      </c>
      <c r="AM30" s="334">
        <f ca="1">'Balance Sheet'!AS15</f>
        <v>4536000</v>
      </c>
      <c r="AN30" s="334">
        <f ca="1">'Balance Sheet'!AT15</f>
        <v>4882500</v>
      </c>
      <c r="AO30" s="334">
        <f ca="1">'Balance Sheet'!AU15</f>
        <v>5081999.9999999991</v>
      </c>
      <c r="AP30" s="334">
        <f ca="1">'Balance Sheet'!AV15</f>
        <v>5292000</v>
      </c>
      <c r="AQ30" s="334">
        <f ca="1">'Balance Sheet'!AW15</f>
        <v>5649000</v>
      </c>
      <c r="AR30" s="334">
        <f ca="1">'Balance Sheet'!AX15</f>
        <v>6016499.9999999991</v>
      </c>
      <c r="AS30" s="334">
        <f ca="1">'Balance Sheet'!AY15</f>
        <v>6383999.9999999981</v>
      </c>
      <c r="AT30" s="334">
        <f ca="1">'Balance Sheet'!AZ15</f>
        <v>6751499.9999999981</v>
      </c>
      <c r="AU30" s="334">
        <f ca="1">'Balance Sheet'!BA15</f>
        <v>7276499.9999999981</v>
      </c>
      <c r="AV30" s="334">
        <f ca="1">'Balance Sheet'!BB15</f>
        <v>7654499.9999999991</v>
      </c>
      <c r="AW30" s="334">
        <f ca="1">'Balance Sheet'!BC15</f>
        <v>8190000</v>
      </c>
      <c r="AX30" s="334">
        <f ca="1">'Balance Sheet'!BD15</f>
        <v>8578500</v>
      </c>
      <c r="AY30" s="334">
        <f ca="1">'Balance Sheet'!BE15</f>
        <v>9124500</v>
      </c>
      <c r="AZ30" s="334">
        <f ca="1">'Balance Sheet'!BF15</f>
        <v>9670500</v>
      </c>
      <c r="BA30" s="334">
        <f ca="1">'Balance Sheet'!BG15</f>
        <v>10227000</v>
      </c>
      <c r="BB30" s="334">
        <f ca="1">'Balance Sheet'!BH15</f>
        <v>10941000</v>
      </c>
      <c r="BC30" s="334">
        <f ca="1">'Balance Sheet'!BI15</f>
        <v>11508000</v>
      </c>
      <c r="BD30" s="334">
        <f ca="1">'Balance Sheet'!BJ15</f>
        <v>12232500</v>
      </c>
      <c r="BE30" s="334">
        <f ca="1">'Balance Sheet'!BK15</f>
        <v>12967500</v>
      </c>
      <c r="BF30" s="334">
        <f ca="1">'Balance Sheet'!BL15</f>
        <v>13860000</v>
      </c>
      <c r="BG30" s="334">
        <f ca="1">'Balance Sheet'!BM15</f>
        <v>14605500.000000002</v>
      </c>
      <c r="BH30" s="334">
        <f ca="1">'Balance Sheet'!BN15</f>
        <v>15519000.000000002</v>
      </c>
      <c r="BI30" s="334">
        <f ca="1">'Balance Sheet'!BO15</f>
        <v>16432499.999999996</v>
      </c>
      <c r="BJ30" s="334">
        <f ca="1">'Balance Sheet'!BP15</f>
        <v>17514000</v>
      </c>
      <c r="BK30" s="334">
        <f ca="1">'Balance Sheet'!BQ15</f>
        <v>18606000</v>
      </c>
      <c r="IR30" s="316"/>
    </row>
    <row r="31" spans="1:252" s="336" customFormat="1">
      <c r="A31" s="316"/>
      <c r="B31" s="316" t="str">
        <f>'Balance Sheet'!E16</f>
        <v>Supply Chain Finance balance</v>
      </c>
      <c r="C31" s="292"/>
      <c r="D31" s="334">
        <f ca="1">'Balance Sheet'!J16</f>
        <v>0</v>
      </c>
      <c r="E31" s="334">
        <f ca="1">'Balance Sheet'!K16</f>
        <v>0</v>
      </c>
      <c r="F31" s="334">
        <f ca="1">'Balance Sheet'!L16</f>
        <v>0</v>
      </c>
      <c r="G31" s="334">
        <f ca="1">'Balance Sheet'!M16</f>
        <v>0</v>
      </c>
      <c r="H31" s="334">
        <f ca="1">'Balance Sheet'!N16</f>
        <v>0</v>
      </c>
      <c r="I31" s="334">
        <f ca="1">'Balance Sheet'!O16</f>
        <v>0</v>
      </c>
      <c r="J31" s="334">
        <f ca="1">'Balance Sheet'!P16</f>
        <v>0</v>
      </c>
      <c r="K31" s="334">
        <f ca="1">'Balance Sheet'!Q16</f>
        <v>0</v>
      </c>
      <c r="L31" s="334">
        <f ca="1">'Balance Sheet'!R16</f>
        <v>0</v>
      </c>
      <c r="M31" s="334">
        <f ca="1">'Balance Sheet'!S16</f>
        <v>0</v>
      </c>
      <c r="N31" s="334">
        <f ca="1">'Balance Sheet'!T16</f>
        <v>0</v>
      </c>
      <c r="O31" s="334">
        <f ca="1">'Balance Sheet'!U16</f>
        <v>0</v>
      </c>
      <c r="P31" s="334">
        <f ca="1">'Balance Sheet'!V16</f>
        <v>0</v>
      </c>
      <c r="Q31" s="334">
        <f ca="1">'Balance Sheet'!W16</f>
        <v>0</v>
      </c>
      <c r="R31" s="334">
        <f ca="1">'Balance Sheet'!X16</f>
        <v>0</v>
      </c>
      <c r="S31" s="334">
        <f ca="1">'Balance Sheet'!Y16</f>
        <v>0</v>
      </c>
      <c r="T31" s="334">
        <f ca="1">'Balance Sheet'!Z16</f>
        <v>0</v>
      </c>
      <c r="U31" s="334">
        <f ca="1">'Balance Sheet'!AA16</f>
        <v>0</v>
      </c>
      <c r="V31" s="334">
        <f ca="1">'Balance Sheet'!AB16</f>
        <v>0</v>
      </c>
      <c r="W31" s="334">
        <f ca="1">'Balance Sheet'!AC16</f>
        <v>0</v>
      </c>
      <c r="X31" s="334">
        <f ca="1">'Balance Sheet'!AD16</f>
        <v>0</v>
      </c>
      <c r="Y31" s="334">
        <f ca="1">'Balance Sheet'!AE16</f>
        <v>0</v>
      </c>
      <c r="Z31" s="334">
        <f ca="1">'Balance Sheet'!AF16</f>
        <v>0</v>
      </c>
      <c r="AA31" s="334">
        <f ca="1">'Balance Sheet'!AG16</f>
        <v>0</v>
      </c>
      <c r="AB31" s="334">
        <f ca="1">'Balance Sheet'!AH16</f>
        <v>0</v>
      </c>
      <c r="AC31" s="334">
        <f ca="1">'Balance Sheet'!AI16</f>
        <v>0</v>
      </c>
      <c r="AD31" s="334">
        <f ca="1">'Balance Sheet'!AJ16</f>
        <v>0</v>
      </c>
      <c r="AE31" s="334">
        <f ca="1">'Balance Sheet'!AK16</f>
        <v>0</v>
      </c>
      <c r="AF31" s="334">
        <f ca="1">'Balance Sheet'!AL16</f>
        <v>0</v>
      </c>
      <c r="AG31" s="334">
        <f ca="1">'Balance Sheet'!AM16</f>
        <v>0</v>
      </c>
      <c r="AH31" s="334">
        <f ca="1">'Balance Sheet'!AN16</f>
        <v>0</v>
      </c>
      <c r="AI31" s="334">
        <f ca="1">'Balance Sheet'!AO16</f>
        <v>0</v>
      </c>
      <c r="AJ31" s="334">
        <f ca="1">'Balance Sheet'!AP16</f>
        <v>0</v>
      </c>
      <c r="AK31" s="334">
        <f ca="1">'Balance Sheet'!AQ16</f>
        <v>0</v>
      </c>
      <c r="AL31" s="334">
        <f ca="1">'Balance Sheet'!AR16</f>
        <v>0</v>
      </c>
      <c r="AM31" s="334">
        <f ca="1">'Balance Sheet'!AS16</f>
        <v>0</v>
      </c>
      <c r="AN31" s="334">
        <f ca="1">'Balance Sheet'!AT16</f>
        <v>0</v>
      </c>
      <c r="AO31" s="334">
        <f ca="1">'Balance Sheet'!AU16</f>
        <v>0</v>
      </c>
      <c r="AP31" s="334">
        <f ca="1">'Balance Sheet'!AV16</f>
        <v>0</v>
      </c>
      <c r="AQ31" s="334">
        <f ca="1">'Balance Sheet'!AW16</f>
        <v>0</v>
      </c>
      <c r="AR31" s="334">
        <f ca="1">'Balance Sheet'!AX16</f>
        <v>0</v>
      </c>
      <c r="AS31" s="334">
        <f ca="1">'Balance Sheet'!AY16</f>
        <v>0</v>
      </c>
      <c r="AT31" s="334">
        <f ca="1">'Balance Sheet'!AZ16</f>
        <v>0</v>
      </c>
      <c r="AU31" s="334">
        <f ca="1">'Balance Sheet'!BA16</f>
        <v>0</v>
      </c>
      <c r="AV31" s="334">
        <f ca="1">'Balance Sheet'!BB16</f>
        <v>0</v>
      </c>
      <c r="AW31" s="334">
        <f ca="1">'Balance Sheet'!BC16</f>
        <v>0</v>
      </c>
      <c r="AX31" s="334">
        <f ca="1">'Balance Sheet'!BD16</f>
        <v>0</v>
      </c>
      <c r="AY31" s="334">
        <f ca="1">'Balance Sheet'!BE16</f>
        <v>0</v>
      </c>
      <c r="AZ31" s="334">
        <f ca="1">'Balance Sheet'!BF16</f>
        <v>0</v>
      </c>
      <c r="BA31" s="334">
        <f ca="1">'Balance Sheet'!BG16</f>
        <v>0</v>
      </c>
      <c r="BB31" s="334">
        <f ca="1">'Balance Sheet'!BH16</f>
        <v>0</v>
      </c>
      <c r="BC31" s="334">
        <f ca="1">'Balance Sheet'!BI16</f>
        <v>0</v>
      </c>
      <c r="BD31" s="334">
        <f ca="1">'Balance Sheet'!BJ16</f>
        <v>0</v>
      </c>
      <c r="BE31" s="334">
        <f ca="1">'Balance Sheet'!BK16</f>
        <v>0</v>
      </c>
      <c r="BF31" s="334">
        <f ca="1">'Balance Sheet'!BL16</f>
        <v>0</v>
      </c>
      <c r="BG31" s="334">
        <f ca="1">'Balance Sheet'!BM16</f>
        <v>0</v>
      </c>
      <c r="BH31" s="334">
        <f ca="1">'Balance Sheet'!BN16</f>
        <v>0</v>
      </c>
      <c r="BI31" s="334">
        <f ca="1">'Balance Sheet'!BO16</f>
        <v>0</v>
      </c>
      <c r="BJ31" s="334">
        <f ca="1">'Balance Sheet'!BP16</f>
        <v>0</v>
      </c>
      <c r="BK31" s="334">
        <f ca="1">'Balance Sheet'!BQ16</f>
        <v>0</v>
      </c>
      <c r="BL31" s="316"/>
      <c r="BM31" s="316"/>
      <c r="BN31" s="316"/>
      <c r="BO31" s="316"/>
      <c r="BP31" s="316"/>
      <c r="BQ31" s="316"/>
      <c r="BR31" s="316"/>
      <c r="BS31" s="316"/>
      <c r="BT31" s="316"/>
      <c r="BU31" s="316"/>
      <c r="BV31" s="316"/>
      <c r="BW31" s="316"/>
      <c r="BX31" s="316"/>
      <c r="BY31" s="316"/>
      <c r="BZ31" s="316"/>
      <c r="CA31" s="316"/>
      <c r="CB31" s="316"/>
      <c r="CC31" s="316"/>
      <c r="CD31" s="316"/>
      <c r="CE31" s="316"/>
      <c r="CF31" s="316"/>
      <c r="CG31" s="316"/>
      <c r="CH31" s="316"/>
      <c r="CI31" s="316"/>
      <c r="CJ31" s="316"/>
      <c r="CK31" s="316"/>
      <c r="CL31" s="316"/>
      <c r="CM31" s="316"/>
      <c r="CN31" s="316"/>
      <c r="CO31" s="316"/>
      <c r="CP31" s="316"/>
      <c r="CQ31" s="316"/>
      <c r="CR31" s="316"/>
      <c r="CS31" s="316"/>
      <c r="CT31" s="316"/>
      <c r="CU31" s="316"/>
      <c r="CV31" s="316"/>
      <c r="CW31" s="316"/>
      <c r="CX31" s="316"/>
      <c r="CY31" s="316"/>
      <c r="CZ31" s="316"/>
      <c r="DA31" s="316"/>
      <c r="DB31" s="316"/>
      <c r="DC31" s="316"/>
      <c r="DD31" s="316"/>
      <c r="DE31" s="316"/>
      <c r="DF31" s="316"/>
      <c r="DG31" s="316"/>
      <c r="DH31" s="316"/>
      <c r="DI31" s="316"/>
      <c r="DJ31" s="316"/>
      <c r="DK31" s="316"/>
      <c r="DL31" s="316"/>
      <c r="DM31" s="316"/>
      <c r="DN31" s="316"/>
      <c r="DO31" s="316"/>
      <c r="DP31" s="316"/>
      <c r="DQ31" s="316"/>
      <c r="DR31" s="316"/>
      <c r="DS31" s="316"/>
      <c r="DT31" s="316"/>
      <c r="DU31" s="316"/>
      <c r="DV31" s="316"/>
      <c r="DW31" s="316"/>
      <c r="DX31" s="316"/>
      <c r="DY31" s="316"/>
      <c r="DZ31" s="316"/>
      <c r="EA31" s="316"/>
      <c r="EB31" s="316"/>
      <c r="EC31" s="316"/>
      <c r="ED31" s="316"/>
      <c r="EE31" s="316"/>
      <c r="EF31" s="316"/>
      <c r="EG31" s="316"/>
      <c r="EH31" s="316"/>
      <c r="EI31" s="316"/>
      <c r="EJ31" s="316"/>
      <c r="EK31" s="316"/>
      <c r="EL31" s="316"/>
      <c r="EM31" s="316"/>
      <c r="EN31" s="316"/>
      <c r="EO31" s="316"/>
      <c r="EP31" s="316"/>
      <c r="EQ31" s="316"/>
      <c r="ER31" s="316"/>
      <c r="ES31" s="316"/>
      <c r="ET31" s="316"/>
      <c r="EU31" s="316"/>
      <c r="EV31" s="316"/>
      <c r="EW31" s="316"/>
      <c r="EX31" s="316"/>
      <c r="EY31" s="316"/>
      <c r="EZ31" s="316"/>
      <c r="FA31" s="316"/>
      <c r="FB31" s="316"/>
      <c r="FC31" s="316"/>
      <c r="FD31" s="316"/>
      <c r="FE31" s="316"/>
      <c r="FF31" s="316"/>
      <c r="FG31" s="316"/>
      <c r="FH31" s="316"/>
      <c r="FI31" s="316"/>
      <c r="FJ31" s="316"/>
      <c r="FK31" s="316"/>
      <c r="FL31" s="316"/>
      <c r="FM31" s="316"/>
      <c r="FN31" s="316"/>
      <c r="FO31" s="316"/>
      <c r="FP31" s="316"/>
      <c r="FQ31" s="316"/>
      <c r="FR31" s="316"/>
      <c r="FS31" s="316"/>
      <c r="FT31" s="316"/>
      <c r="FU31" s="316"/>
      <c r="FV31" s="316"/>
      <c r="FW31" s="316"/>
      <c r="FX31" s="316"/>
      <c r="FY31" s="316"/>
      <c r="FZ31" s="316"/>
      <c r="GA31" s="316"/>
      <c r="GB31" s="316"/>
      <c r="GC31" s="316"/>
      <c r="GD31" s="316"/>
      <c r="GE31" s="316"/>
      <c r="GF31" s="316"/>
      <c r="GG31" s="316"/>
      <c r="GH31" s="316"/>
      <c r="GI31" s="316"/>
      <c r="GJ31" s="316"/>
      <c r="GK31" s="316"/>
      <c r="GL31" s="316"/>
      <c r="GM31" s="316"/>
      <c r="GN31" s="316"/>
      <c r="GO31" s="316"/>
      <c r="GP31" s="316"/>
      <c r="GQ31" s="316"/>
      <c r="GR31" s="316"/>
      <c r="GS31" s="316"/>
      <c r="GT31" s="316"/>
      <c r="GU31" s="316"/>
      <c r="GV31" s="316"/>
      <c r="GW31" s="316"/>
      <c r="GX31" s="316"/>
      <c r="GY31" s="316"/>
      <c r="GZ31" s="316"/>
      <c r="HA31" s="316"/>
      <c r="HB31" s="316"/>
      <c r="HC31" s="316"/>
      <c r="HD31" s="316"/>
      <c r="HE31" s="316"/>
      <c r="HF31" s="316"/>
      <c r="HG31" s="316"/>
      <c r="HH31" s="316"/>
      <c r="HI31" s="316"/>
      <c r="HJ31" s="316"/>
      <c r="HK31" s="316"/>
      <c r="HL31" s="316"/>
      <c r="HM31" s="316"/>
      <c r="HN31" s="316"/>
      <c r="HO31" s="316"/>
      <c r="HP31" s="316"/>
      <c r="HQ31" s="316"/>
      <c r="HR31" s="316"/>
      <c r="HS31" s="316"/>
      <c r="HT31" s="316"/>
      <c r="HU31" s="316"/>
      <c r="HV31" s="316"/>
      <c r="HW31" s="316"/>
      <c r="HX31" s="316"/>
      <c r="HY31" s="316"/>
      <c r="HZ31" s="316"/>
      <c r="IA31" s="316"/>
      <c r="IB31" s="316"/>
      <c r="IC31" s="316"/>
      <c r="ID31" s="316"/>
      <c r="IE31" s="316"/>
      <c r="IF31" s="316"/>
      <c r="IG31" s="316"/>
      <c r="IH31" s="316"/>
      <c r="II31" s="316"/>
      <c r="IJ31" s="316"/>
      <c r="IK31" s="316"/>
      <c r="IL31" s="316"/>
      <c r="IM31" s="316"/>
      <c r="IN31" s="316"/>
      <c r="IO31" s="316"/>
      <c r="IP31" s="316"/>
      <c r="IQ31" s="316"/>
      <c r="IR31" s="316"/>
    </row>
    <row r="32" spans="1:252">
      <c r="B32" s="316" t="str">
        <f>'Balance Sheet'!E17</f>
        <v>Invoice finance balance</v>
      </c>
      <c r="C32" s="292"/>
      <c r="D32" s="334">
        <f ca="1">'Balance Sheet'!J17</f>
        <v>0</v>
      </c>
      <c r="E32" s="334">
        <f ca="1">'Balance Sheet'!K17</f>
        <v>0</v>
      </c>
      <c r="F32" s="334">
        <f ca="1">'Balance Sheet'!L17</f>
        <v>0</v>
      </c>
      <c r="G32" s="334">
        <f ca="1">'Balance Sheet'!M17</f>
        <v>0</v>
      </c>
      <c r="H32" s="334">
        <f ca="1">'Balance Sheet'!N17</f>
        <v>0</v>
      </c>
      <c r="I32" s="334">
        <f ca="1">'Balance Sheet'!O17</f>
        <v>0</v>
      </c>
      <c r="J32" s="334">
        <f ca="1">'Balance Sheet'!P17</f>
        <v>0</v>
      </c>
      <c r="K32" s="334">
        <f ca="1">'Balance Sheet'!Q17</f>
        <v>0</v>
      </c>
      <c r="L32" s="334">
        <f ca="1">'Balance Sheet'!R17</f>
        <v>0</v>
      </c>
      <c r="M32" s="334">
        <f ca="1">'Balance Sheet'!S17</f>
        <v>0</v>
      </c>
      <c r="N32" s="334">
        <f ca="1">'Balance Sheet'!T17</f>
        <v>0</v>
      </c>
      <c r="O32" s="334">
        <f ca="1">'Balance Sheet'!U17</f>
        <v>0</v>
      </c>
      <c r="P32" s="334">
        <f ca="1">'Balance Sheet'!V17</f>
        <v>0</v>
      </c>
      <c r="Q32" s="334">
        <f ca="1">'Balance Sheet'!W17</f>
        <v>0</v>
      </c>
      <c r="R32" s="334">
        <f ca="1">'Balance Sheet'!X17</f>
        <v>0</v>
      </c>
      <c r="S32" s="334">
        <f ca="1">'Balance Sheet'!Y17</f>
        <v>0</v>
      </c>
      <c r="T32" s="334">
        <f ca="1">'Balance Sheet'!Z17</f>
        <v>0</v>
      </c>
      <c r="U32" s="334">
        <f ca="1">'Balance Sheet'!AA17</f>
        <v>0</v>
      </c>
      <c r="V32" s="334">
        <f ca="1">'Balance Sheet'!AB17</f>
        <v>0</v>
      </c>
      <c r="W32" s="334">
        <f ca="1">'Balance Sheet'!AC17</f>
        <v>0</v>
      </c>
      <c r="X32" s="334">
        <f ca="1">'Balance Sheet'!AD17</f>
        <v>0</v>
      </c>
      <c r="Y32" s="334">
        <f ca="1">'Balance Sheet'!AE17</f>
        <v>0</v>
      </c>
      <c r="Z32" s="334">
        <f ca="1">'Balance Sheet'!AF17</f>
        <v>0</v>
      </c>
      <c r="AA32" s="334">
        <f ca="1">'Balance Sheet'!AG17</f>
        <v>0</v>
      </c>
      <c r="AB32" s="334">
        <f ca="1">'Balance Sheet'!AH17</f>
        <v>0</v>
      </c>
      <c r="AC32" s="334">
        <f ca="1">'Balance Sheet'!AI17</f>
        <v>0</v>
      </c>
      <c r="AD32" s="334">
        <f ca="1">'Balance Sheet'!AJ17</f>
        <v>0</v>
      </c>
      <c r="AE32" s="334">
        <f ca="1">'Balance Sheet'!AK17</f>
        <v>0</v>
      </c>
      <c r="AF32" s="334">
        <f ca="1">'Balance Sheet'!AL17</f>
        <v>0</v>
      </c>
      <c r="AG32" s="334">
        <f ca="1">'Balance Sheet'!AM17</f>
        <v>0</v>
      </c>
      <c r="AH32" s="334">
        <f ca="1">'Balance Sheet'!AN17</f>
        <v>0</v>
      </c>
      <c r="AI32" s="334">
        <f ca="1">'Balance Sheet'!AO17</f>
        <v>0</v>
      </c>
      <c r="AJ32" s="334">
        <f ca="1">'Balance Sheet'!AP17</f>
        <v>0</v>
      </c>
      <c r="AK32" s="334">
        <f ca="1">'Balance Sheet'!AQ17</f>
        <v>0</v>
      </c>
      <c r="AL32" s="334">
        <f ca="1">'Balance Sheet'!AR17</f>
        <v>0</v>
      </c>
      <c r="AM32" s="334">
        <f ca="1">'Balance Sheet'!AS17</f>
        <v>0</v>
      </c>
      <c r="AN32" s="334">
        <f ca="1">'Balance Sheet'!AT17</f>
        <v>0</v>
      </c>
      <c r="AO32" s="334">
        <f ca="1">'Balance Sheet'!AU17</f>
        <v>0</v>
      </c>
      <c r="AP32" s="334">
        <f ca="1">'Balance Sheet'!AV17</f>
        <v>0</v>
      </c>
      <c r="AQ32" s="334">
        <f ca="1">'Balance Sheet'!AW17</f>
        <v>0</v>
      </c>
      <c r="AR32" s="334">
        <f ca="1">'Balance Sheet'!AX17</f>
        <v>0</v>
      </c>
      <c r="AS32" s="334">
        <f ca="1">'Balance Sheet'!AY17</f>
        <v>0</v>
      </c>
      <c r="AT32" s="334">
        <f ca="1">'Balance Sheet'!AZ17</f>
        <v>0</v>
      </c>
      <c r="AU32" s="334">
        <f ca="1">'Balance Sheet'!BA17</f>
        <v>0</v>
      </c>
      <c r="AV32" s="334">
        <f ca="1">'Balance Sheet'!BB17</f>
        <v>0</v>
      </c>
      <c r="AW32" s="334">
        <f ca="1">'Balance Sheet'!BC17</f>
        <v>0</v>
      </c>
      <c r="AX32" s="334">
        <f ca="1">'Balance Sheet'!BD17</f>
        <v>0</v>
      </c>
      <c r="AY32" s="334">
        <f ca="1">'Balance Sheet'!BE17</f>
        <v>0</v>
      </c>
      <c r="AZ32" s="334">
        <f ca="1">'Balance Sheet'!BF17</f>
        <v>0</v>
      </c>
      <c r="BA32" s="334">
        <f ca="1">'Balance Sheet'!BG17</f>
        <v>0</v>
      </c>
      <c r="BB32" s="334">
        <f ca="1">'Balance Sheet'!BH17</f>
        <v>0</v>
      </c>
      <c r="BC32" s="334">
        <f ca="1">'Balance Sheet'!BI17</f>
        <v>0</v>
      </c>
      <c r="BD32" s="334">
        <f ca="1">'Balance Sheet'!BJ17</f>
        <v>0</v>
      </c>
      <c r="BE32" s="334">
        <f ca="1">'Balance Sheet'!BK17</f>
        <v>0</v>
      </c>
      <c r="BF32" s="334">
        <f ca="1">'Balance Sheet'!BL17</f>
        <v>0</v>
      </c>
      <c r="BG32" s="334">
        <f ca="1">'Balance Sheet'!BM17</f>
        <v>0</v>
      </c>
      <c r="BH32" s="334">
        <f ca="1">'Balance Sheet'!BN17</f>
        <v>0</v>
      </c>
      <c r="BI32" s="334">
        <f ca="1">'Balance Sheet'!BO17</f>
        <v>0</v>
      </c>
      <c r="BJ32" s="334">
        <f ca="1">'Balance Sheet'!BP17</f>
        <v>0</v>
      </c>
      <c r="BK32" s="334">
        <f ca="1">'Balance Sheet'!BQ17</f>
        <v>0</v>
      </c>
      <c r="BL32" s="292"/>
      <c r="BM32" s="292"/>
      <c r="BN32" s="292"/>
      <c r="BO32" s="292"/>
      <c r="BP32" s="292"/>
      <c r="BQ32" s="292"/>
      <c r="BR32" s="292"/>
      <c r="BS32" s="327"/>
      <c r="BT32" s="327"/>
      <c r="BU32" s="327"/>
      <c r="BV32" s="327"/>
      <c r="BW32" s="327"/>
      <c r="BX32" s="327"/>
      <c r="BY32" s="327"/>
      <c r="BZ32" s="327"/>
      <c r="CA32" s="327"/>
      <c r="CB32" s="327"/>
      <c r="CC32" s="327"/>
      <c r="CD32" s="327"/>
      <c r="CE32" s="327"/>
      <c r="CF32" s="327"/>
      <c r="CG32" s="327"/>
      <c r="CH32" s="327"/>
      <c r="CI32" s="327"/>
      <c r="CJ32" s="327"/>
      <c r="CK32" s="327"/>
      <c r="CL32" s="327"/>
      <c r="CM32" s="327"/>
      <c r="CN32" s="327"/>
      <c r="CO32" s="327"/>
      <c r="CP32" s="327"/>
      <c r="CQ32" s="327"/>
      <c r="CR32" s="327"/>
      <c r="CS32" s="327"/>
      <c r="CT32" s="327"/>
      <c r="CU32" s="327"/>
      <c r="CV32" s="327"/>
      <c r="CW32" s="327"/>
      <c r="CX32" s="327"/>
      <c r="CY32" s="327"/>
      <c r="CZ32" s="327"/>
      <c r="DA32" s="327"/>
      <c r="DB32" s="327"/>
      <c r="DC32" s="327"/>
      <c r="DD32" s="327"/>
      <c r="DE32" s="327"/>
      <c r="DF32" s="327"/>
      <c r="DG32" s="327"/>
      <c r="DH32" s="327"/>
      <c r="DI32" s="327"/>
      <c r="DJ32" s="327"/>
      <c r="DK32" s="327"/>
      <c r="DL32" s="327"/>
      <c r="DM32" s="327"/>
      <c r="DN32" s="327"/>
      <c r="DO32" s="327"/>
      <c r="DP32" s="327"/>
      <c r="DQ32" s="327"/>
      <c r="DR32" s="327"/>
      <c r="DS32" s="327"/>
      <c r="DT32" s="327"/>
      <c r="DU32" s="327"/>
      <c r="DV32" s="327"/>
      <c r="DW32" s="327"/>
      <c r="DX32" s="327"/>
      <c r="DY32" s="327"/>
      <c r="DZ32" s="327"/>
      <c r="EA32" s="327"/>
      <c r="EB32" s="327"/>
      <c r="EC32" s="327"/>
      <c r="ED32" s="327"/>
      <c r="EE32" s="327"/>
      <c r="EF32" s="327"/>
      <c r="EG32" s="327"/>
      <c r="EH32" s="327"/>
      <c r="EI32" s="327"/>
      <c r="EJ32" s="327"/>
      <c r="EK32" s="327"/>
      <c r="EL32" s="327"/>
      <c r="EM32" s="327"/>
      <c r="EN32" s="327"/>
      <c r="EO32" s="327"/>
      <c r="EP32" s="327"/>
      <c r="EQ32" s="327"/>
      <c r="ER32" s="327"/>
      <c r="ES32" s="327"/>
      <c r="ET32" s="327"/>
      <c r="EU32" s="327"/>
      <c r="EV32" s="327"/>
      <c r="EW32" s="327"/>
      <c r="EX32" s="327"/>
      <c r="EY32" s="327"/>
      <c r="EZ32" s="327"/>
      <c r="FA32" s="327"/>
      <c r="FB32" s="327"/>
      <c r="FC32" s="327"/>
      <c r="FD32" s="327"/>
      <c r="FE32" s="327"/>
      <c r="FF32" s="327"/>
      <c r="FG32" s="327"/>
      <c r="FH32" s="327"/>
      <c r="FI32" s="327"/>
      <c r="FJ32" s="327"/>
      <c r="FK32" s="327"/>
      <c r="FL32" s="327"/>
      <c r="FM32" s="327"/>
      <c r="FN32" s="327"/>
      <c r="FO32" s="327"/>
      <c r="FP32" s="327"/>
      <c r="FQ32" s="327"/>
      <c r="FR32" s="327"/>
      <c r="FS32" s="327"/>
      <c r="FT32" s="327"/>
      <c r="FU32" s="327"/>
      <c r="FV32" s="327"/>
      <c r="FW32" s="327"/>
      <c r="FX32" s="327"/>
      <c r="FY32" s="327"/>
      <c r="FZ32" s="327"/>
      <c r="GA32" s="327"/>
      <c r="GB32" s="327"/>
      <c r="GC32" s="327"/>
      <c r="GD32" s="327"/>
      <c r="GE32" s="327"/>
      <c r="GF32" s="327"/>
      <c r="GG32" s="327"/>
      <c r="GH32" s="327"/>
      <c r="GI32" s="327"/>
      <c r="GJ32" s="327"/>
      <c r="GK32" s="327"/>
      <c r="GL32" s="327"/>
      <c r="GM32" s="327"/>
      <c r="GN32" s="327"/>
      <c r="GO32" s="327"/>
      <c r="GP32" s="327"/>
      <c r="GQ32" s="327"/>
      <c r="GR32" s="327"/>
      <c r="GS32" s="327"/>
      <c r="GT32" s="327"/>
      <c r="GU32" s="327"/>
      <c r="GV32" s="327"/>
      <c r="GW32" s="327"/>
      <c r="GX32" s="327"/>
      <c r="GY32" s="327"/>
      <c r="GZ32" s="327"/>
      <c r="HA32" s="327"/>
      <c r="HB32" s="327"/>
      <c r="HC32" s="327"/>
      <c r="HD32" s="327"/>
      <c r="HE32" s="327"/>
      <c r="HF32" s="327"/>
      <c r="HG32" s="327"/>
      <c r="HH32" s="327"/>
      <c r="HI32" s="327"/>
      <c r="HJ32" s="327"/>
      <c r="HK32" s="327"/>
      <c r="HL32" s="327"/>
      <c r="HM32" s="327"/>
      <c r="HN32" s="327"/>
      <c r="HO32" s="327"/>
      <c r="HP32" s="327"/>
      <c r="HQ32" s="327"/>
      <c r="HR32" s="327"/>
      <c r="HS32" s="327"/>
      <c r="HT32" s="327"/>
      <c r="HU32" s="327"/>
      <c r="HV32" s="327"/>
      <c r="HW32" s="327"/>
      <c r="HX32" s="327"/>
      <c r="HY32" s="327"/>
      <c r="HZ32" s="327"/>
      <c r="IA32" s="327"/>
      <c r="IB32" s="327"/>
      <c r="IC32" s="327"/>
      <c r="ID32" s="327"/>
      <c r="IE32" s="327"/>
      <c r="IF32" s="327"/>
      <c r="IG32" s="327"/>
      <c r="IH32" s="327"/>
      <c r="II32" s="327"/>
      <c r="IJ32" s="327"/>
      <c r="IK32" s="327"/>
      <c r="IL32" s="327"/>
      <c r="IM32" s="327"/>
      <c r="IN32" s="327"/>
      <c r="IO32" s="327"/>
      <c r="IP32" s="327"/>
      <c r="IQ32" s="327"/>
      <c r="IR32" s="327"/>
    </row>
    <row r="33" spans="1:252" s="336" customFormat="1">
      <c r="A33" s="329"/>
      <c r="B33" s="316" t="str">
        <f>'Balance Sheet'!E18</f>
        <v>Asset Finance balance</v>
      </c>
      <c r="C33" s="292"/>
      <c r="D33" s="334">
        <f ca="1">'Balance Sheet'!J18</f>
        <v>0</v>
      </c>
      <c r="E33" s="334">
        <f ca="1">'Balance Sheet'!K18</f>
        <v>0</v>
      </c>
      <c r="F33" s="334">
        <f ca="1">'Balance Sheet'!L18</f>
        <v>0</v>
      </c>
      <c r="G33" s="334">
        <f ca="1">'Balance Sheet'!M18</f>
        <v>0</v>
      </c>
      <c r="H33" s="334">
        <f ca="1">'Balance Sheet'!N18</f>
        <v>0</v>
      </c>
      <c r="I33" s="334">
        <f ca="1">'Balance Sheet'!O18</f>
        <v>0</v>
      </c>
      <c r="J33" s="334">
        <f ca="1">'Balance Sheet'!P18</f>
        <v>0</v>
      </c>
      <c r="K33" s="334">
        <f ca="1">'Balance Sheet'!Q18</f>
        <v>0</v>
      </c>
      <c r="L33" s="334">
        <f ca="1">'Balance Sheet'!R18</f>
        <v>0</v>
      </c>
      <c r="M33" s="334">
        <f ca="1">'Balance Sheet'!S18</f>
        <v>0</v>
      </c>
      <c r="N33" s="334">
        <f ca="1">'Balance Sheet'!T18</f>
        <v>0</v>
      </c>
      <c r="O33" s="334">
        <f ca="1">'Balance Sheet'!U18</f>
        <v>0</v>
      </c>
      <c r="P33" s="334">
        <f ca="1">'Balance Sheet'!V18</f>
        <v>0</v>
      </c>
      <c r="Q33" s="334">
        <f ca="1">'Balance Sheet'!W18</f>
        <v>0</v>
      </c>
      <c r="R33" s="334">
        <f ca="1">'Balance Sheet'!X18</f>
        <v>0</v>
      </c>
      <c r="S33" s="334">
        <f ca="1">'Balance Sheet'!Y18</f>
        <v>0</v>
      </c>
      <c r="T33" s="334">
        <f ca="1">'Balance Sheet'!Z18</f>
        <v>0</v>
      </c>
      <c r="U33" s="334">
        <f ca="1">'Balance Sheet'!AA18</f>
        <v>0</v>
      </c>
      <c r="V33" s="334">
        <f ca="1">'Balance Sheet'!AB18</f>
        <v>0</v>
      </c>
      <c r="W33" s="334">
        <f ca="1">'Balance Sheet'!AC18</f>
        <v>0</v>
      </c>
      <c r="X33" s="334">
        <f ca="1">'Balance Sheet'!AD18</f>
        <v>0</v>
      </c>
      <c r="Y33" s="334">
        <f ca="1">'Balance Sheet'!AE18</f>
        <v>0</v>
      </c>
      <c r="Z33" s="334">
        <f ca="1">'Balance Sheet'!AF18</f>
        <v>0</v>
      </c>
      <c r="AA33" s="334">
        <f ca="1">'Balance Sheet'!AG18</f>
        <v>0</v>
      </c>
      <c r="AB33" s="334">
        <f ca="1">'Balance Sheet'!AH18</f>
        <v>0</v>
      </c>
      <c r="AC33" s="334">
        <f ca="1">'Balance Sheet'!AI18</f>
        <v>0</v>
      </c>
      <c r="AD33" s="334">
        <f ca="1">'Balance Sheet'!AJ18</f>
        <v>0</v>
      </c>
      <c r="AE33" s="334">
        <f ca="1">'Balance Sheet'!AK18</f>
        <v>0</v>
      </c>
      <c r="AF33" s="334">
        <f ca="1">'Balance Sheet'!AL18</f>
        <v>0</v>
      </c>
      <c r="AG33" s="334">
        <f ca="1">'Balance Sheet'!AM18</f>
        <v>0</v>
      </c>
      <c r="AH33" s="334">
        <f ca="1">'Balance Sheet'!AN18</f>
        <v>0</v>
      </c>
      <c r="AI33" s="334">
        <f ca="1">'Balance Sheet'!AO18</f>
        <v>0</v>
      </c>
      <c r="AJ33" s="334">
        <f ca="1">'Balance Sheet'!AP18</f>
        <v>0</v>
      </c>
      <c r="AK33" s="334">
        <f ca="1">'Balance Sheet'!AQ18</f>
        <v>0</v>
      </c>
      <c r="AL33" s="334">
        <f ca="1">'Balance Sheet'!AR18</f>
        <v>0</v>
      </c>
      <c r="AM33" s="334">
        <f ca="1">'Balance Sheet'!AS18</f>
        <v>0</v>
      </c>
      <c r="AN33" s="334">
        <f ca="1">'Balance Sheet'!AT18</f>
        <v>0</v>
      </c>
      <c r="AO33" s="334">
        <f ca="1">'Balance Sheet'!AU18</f>
        <v>0</v>
      </c>
      <c r="AP33" s="334">
        <f ca="1">'Balance Sheet'!AV18</f>
        <v>0</v>
      </c>
      <c r="AQ33" s="334">
        <f ca="1">'Balance Sheet'!AW18</f>
        <v>0</v>
      </c>
      <c r="AR33" s="334">
        <f ca="1">'Balance Sheet'!AX18</f>
        <v>0</v>
      </c>
      <c r="AS33" s="334">
        <f ca="1">'Balance Sheet'!AY18</f>
        <v>0</v>
      </c>
      <c r="AT33" s="334">
        <f ca="1">'Balance Sheet'!AZ18</f>
        <v>0</v>
      </c>
      <c r="AU33" s="334">
        <f ca="1">'Balance Sheet'!BA18</f>
        <v>0</v>
      </c>
      <c r="AV33" s="334">
        <f ca="1">'Balance Sheet'!BB18</f>
        <v>0</v>
      </c>
      <c r="AW33" s="334">
        <f ca="1">'Balance Sheet'!BC18</f>
        <v>0</v>
      </c>
      <c r="AX33" s="334">
        <f ca="1">'Balance Sheet'!BD18</f>
        <v>0</v>
      </c>
      <c r="AY33" s="334">
        <f ca="1">'Balance Sheet'!BE18</f>
        <v>0</v>
      </c>
      <c r="AZ33" s="334">
        <f ca="1">'Balance Sheet'!BF18</f>
        <v>0</v>
      </c>
      <c r="BA33" s="334">
        <f ca="1">'Balance Sheet'!BG18</f>
        <v>0</v>
      </c>
      <c r="BB33" s="334">
        <f ca="1">'Balance Sheet'!BH18</f>
        <v>0</v>
      </c>
      <c r="BC33" s="334">
        <f ca="1">'Balance Sheet'!BI18</f>
        <v>0</v>
      </c>
      <c r="BD33" s="334">
        <f ca="1">'Balance Sheet'!BJ18</f>
        <v>0</v>
      </c>
      <c r="BE33" s="334">
        <f ca="1">'Balance Sheet'!BK18</f>
        <v>0</v>
      </c>
      <c r="BF33" s="334">
        <f ca="1">'Balance Sheet'!BL18</f>
        <v>0</v>
      </c>
      <c r="BG33" s="334">
        <f ca="1">'Balance Sheet'!BM18</f>
        <v>0</v>
      </c>
      <c r="BH33" s="334">
        <f ca="1">'Balance Sheet'!BN18</f>
        <v>0</v>
      </c>
      <c r="BI33" s="334">
        <f ca="1">'Balance Sheet'!BO18</f>
        <v>0</v>
      </c>
      <c r="BJ33" s="334">
        <f ca="1">'Balance Sheet'!BP18</f>
        <v>0</v>
      </c>
      <c r="BK33" s="334">
        <f ca="1">'Balance Sheet'!BQ18</f>
        <v>0</v>
      </c>
      <c r="BL33" s="329"/>
      <c r="BM33" s="329"/>
      <c r="BN33" s="329"/>
      <c r="BO33" s="329"/>
      <c r="BP33" s="329"/>
      <c r="BQ33" s="329"/>
      <c r="BR33" s="329"/>
      <c r="BS33" s="329"/>
      <c r="BT33" s="329"/>
      <c r="BU33" s="329"/>
      <c r="BV33" s="329"/>
      <c r="BW33" s="329"/>
      <c r="BX33" s="329"/>
      <c r="BY33" s="329"/>
      <c r="BZ33" s="329"/>
      <c r="CA33" s="329"/>
      <c r="CB33" s="329"/>
      <c r="CC33" s="329"/>
      <c r="CD33" s="329"/>
      <c r="CE33" s="329"/>
      <c r="CF33" s="329"/>
      <c r="CG33" s="329"/>
      <c r="CH33" s="329"/>
      <c r="CI33" s="329"/>
      <c r="CJ33" s="329"/>
      <c r="CK33" s="329"/>
      <c r="CL33" s="329"/>
      <c r="CM33" s="329"/>
      <c r="CN33" s="329"/>
      <c r="CO33" s="329"/>
      <c r="CP33" s="329"/>
      <c r="CQ33" s="329"/>
      <c r="CR33" s="329"/>
      <c r="CS33" s="329"/>
      <c r="CT33" s="329"/>
      <c r="CU33" s="329"/>
      <c r="CV33" s="329"/>
      <c r="CW33" s="329"/>
      <c r="CX33" s="329"/>
      <c r="CY33" s="329"/>
      <c r="CZ33" s="329"/>
      <c r="DA33" s="329"/>
      <c r="DB33" s="329"/>
      <c r="DC33" s="329"/>
      <c r="DD33" s="329"/>
      <c r="DE33" s="329"/>
      <c r="DF33" s="329"/>
      <c r="DG33" s="329"/>
      <c r="DH33" s="329"/>
      <c r="DI33" s="329"/>
      <c r="DJ33" s="329"/>
      <c r="DK33" s="329"/>
      <c r="DL33" s="329"/>
      <c r="DM33" s="329"/>
      <c r="DN33" s="329"/>
      <c r="DO33" s="329"/>
      <c r="DP33" s="329"/>
      <c r="DQ33" s="329"/>
      <c r="DR33" s="329"/>
      <c r="DS33" s="329"/>
      <c r="DT33" s="329"/>
      <c r="DU33" s="329"/>
      <c r="DV33" s="329"/>
      <c r="DW33" s="329"/>
      <c r="DX33" s="329"/>
      <c r="DY33" s="329"/>
      <c r="DZ33" s="329"/>
      <c r="EA33" s="329"/>
      <c r="EB33" s="329"/>
      <c r="EC33" s="329"/>
      <c r="ED33" s="329"/>
      <c r="EE33" s="329"/>
      <c r="EF33" s="329"/>
      <c r="EG33" s="329"/>
      <c r="EH33" s="329"/>
      <c r="EI33" s="329"/>
      <c r="EJ33" s="329"/>
      <c r="EK33" s="329"/>
      <c r="EL33" s="329"/>
      <c r="EM33" s="329"/>
      <c r="EN33" s="329"/>
      <c r="EO33" s="329"/>
      <c r="EP33" s="329"/>
      <c r="EQ33" s="329"/>
      <c r="ER33" s="329"/>
      <c r="ES33" s="329"/>
      <c r="ET33" s="329"/>
      <c r="EU33" s="329"/>
      <c r="EV33" s="329"/>
      <c r="EW33" s="329"/>
      <c r="EX33" s="329"/>
      <c r="EY33" s="329"/>
      <c r="EZ33" s="329"/>
      <c r="FA33" s="329"/>
      <c r="FB33" s="329"/>
      <c r="FC33" s="329"/>
      <c r="FD33" s="329"/>
      <c r="FE33" s="329"/>
      <c r="FF33" s="329"/>
      <c r="FG33" s="329"/>
      <c r="FH33" s="329"/>
      <c r="FI33" s="329"/>
      <c r="FJ33" s="329"/>
      <c r="FK33" s="329"/>
      <c r="FL33" s="329"/>
      <c r="FM33" s="329"/>
      <c r="FN33" s="329"/>
      <c r="FO33" s="329"/>
      <c r="FP33" s="329"/>
      <c r="FQ33" s="329"/>
      <c r="FR33" s="329"/>
      <c r="FS33" s="329"/>
      <c r="FT33" s="329"/>
      <c r="FU33" s="329"/>
      <c r="FV33" s="329"/>
      <c r="FW33" s="329"/>
      <c r="FX33" s="329"/>
      <c r="FY33" s="329"/>
      <c r="FZ33" s="329"/>
      <c r="GA33" s="329"/>
      <c r="GB33" s="329"/>
      <c r="GC33" s="329"/>
      <c r="GD33" s="329"/>
      <c r="GE33" s="329"/>
      <c r="GF33" s="329"/>
      <c r="GG33" s="329"/>
      <c r="GH33" s="329"/>
      <c r="GI33" s="329"/>
      <c r="GJ33" s="329"/>
      <c r="GK33" s="329"/>
      <c r="GL33" s="329"/>
      <c r="GM33" s="329"/>
      <c r="GN33" s="329"/>
      <c r="GO33" s="329"/>
      <c r="GP33" s="329"/>
      <c r="GQ33" s="329"/>
      <c r="GR33" s="329"/>
      <c r="GS33" s="329"/>
      <c r="GT33" s="329"/>
      <c r="GU33" s="329"/>
      <c r="GV33" s="329"/>
      <c r="GW33" s="329"/>
      <c r="GX33" s="329"/>
      <c r="GY33" s="329"/>
      <c r="GZ33" s="329"/>
      <c r="HA33" s="329"/>
      <c r="HB33" s="329"/>
      <c r="HC33" s="329"/>
      <c r="HD33" s="329"/>
      <c r="HE33" s="329"/>
      <c r="HF33" s="329"/>
      <c r="HG33" s="329"/>
      <c r="HH33" s="329"/>
      <c r="HI33" s="329"/>
      <c r="HJ33" s="329"/>
      <c r="HK33" s="329"/>
      <c r="HL33" s="329"/>
      <c r="HM33" s="329"/>
      <c r="HN33" s="329"/>
      <c r="HO33" s="329"/>
      <c r="HP33" s="329"/>
      <c r="HQ33" s="329"/>
      <c r="HR33" s="329"/>
      <c r="HS33" s="329"/>
      <c r="HT33" s="329"/>
      <c r="HU33" s="329"/>
      <c r="HV33" s="329"/>
      <c r="HW33" s="329"/>
      <c r="HX33" s="329"/>
      <c r="HY33" s="329"/>
      <c r="HZ33" s="329"/>
      <c r="IA33" s="329"/>
      <c r="IB33" s="329"/>
      <c r="IC33" s="329"/>
      <c r="ID33" s="329"/>
      <c r="IE33" s="329"/>
      <c r="IF33" s="329"/>
      <c r="IG33" s="329"/>
      <c r="IH33" s="329"/>
      <c r="II33" s="329"/>
      <c r="IJ33" s="329"/>
      <c r="IK33" s="329"/>
      <c r="IL33" s="329"/>
      <c r="IM33" s="329"/>
      <c r="IN33" s="329"/>
      <c r="IO33" s="329"/>
      <c r="IP33" s="329"/>
      <c r="IQ33" s="329"/>
      <c r="IR33" s="329"/>
    </row>
    <row r="34" spans="1:252">
      <c r="B34" s="316" t="str">
        <f>'Balance Sheet'!E19</f>
        <v>VAT balance</v>
      </c>
      <c r="C34" s="292"/>
      <c r="D34" s="334">
        <f ca="1">'Balance Sheet'!J19</f>
        <v>-6700</v>
      </c>
      <c r="E34" s="334">
        <f ca="1">'Balance Sheet'!K19</f>
        <v>-13400</v>
      </c>
      <c r="F34" s="334">
        <f ca="1">'Balance Sheet'!L19</f>
        <v>91300</v>
      </c>
      <c r="G34" s="334">
        <f ca="1">'Balance Sheet'!M19</f>
        <v>98539.214314865443</v>
      </c>
      <c r="H34" s="334">
        <f ca="1">'Balance Sheet'!N19</f>
        <v>97378.428629730886</v>
      </c>
      <c r="I34" s="334">
        <f ca="1">'Balance Sheet'!O19</f>
        <v>68839.214314865443</v>
      </c>
      <c r="J34" s="334">
        <f ca="1">'Balance Sheet'!P19</f>
        <v>403616.16498478944</v>
      </c>
      <c r="K34" s="334">
        <f ca="1">'Balance Sheet'!Q19</f>
        <v>631993.11565471347</v>
      </c>
      <c r="L34" s="334">
        <f ca="1">'Balance Sheet'!R19</f>
        <v>74376.95066992403</v>
      </c>
      <c r="M34" s="334">
        <f ca="1">'Balance Sheet'!S19</f>
        <v>50690.123799579858</v>
      </c>
      <c r="N34" s="334">
        <f ca="1">'Balance Sheet'!T19</f>
        <v>867003.2969292358</v>
      </c>
      <c r="O34" s="334">
        <f ca="1">'Balance Sheet'!U19</f>
        <v>-23686.826870344114</v>
      </c>
      <c r="P34" s="334">
        <f ca="1">'Balance Sheet'!V19</f>
        <v>791314.44814811065</v>
      </c>
      <c r="Q34" s="334">
        <f ca="1">'Balance Sheet'!W19</f>
        <v>1461967.2447645178</v>
      </c>
      <c r="R34" s="334">
        <f ca="1">'Balance Sheet'!X19</f>
        <v>248302.15095403907</v>
      </c>
      <c r="S34" s="334">
        <f ca="1">'Balance Sheet'!Y19</f>
        <v>1095902.2181618491</v>
      </c>
      <c r="T34" s="334">
        <f ca="1">'Balance Sheet'!Z19</f>
        <v>1126177.8940359142</v>
      </c>
      <c r="U34" s="334">
        <f ca="1">'Balance Sheet'!AA19</f>
        <v>-18515.623776215827</v>
      </c>
      <c r="V34" s="334">
        <f ca="1">'Balance Sheet'!AB19</f>
        <v>332134.38678531407</v>
      </c>
      <c r="W34" s="334">
        <f ca="1">'Balance Sheet'!AC19</f>
        <v>477913.42386992206</v>
      </c>
      <c r="X34" s="334">
        <f ca="1">'Balance Sheet'!AD19</f>
        <v>94796.809735284187</v>
      </c>
      <c r="Y34" s="334">
        <f ca="1">'Balance Sheet'!AE19</f>
        <v>404423.23431237251</v>
      </c>
      <c r="Z34" s="334">
        <f ca="1">'Balance Sheet'!AF19</f>
        <v>1551824.6839187241</v>
      </c>
      <c r="AA34" s="334">
        <f ca="1">'Balance Sheet'!AG19</f>
        <v>305044.1707389825</v>
      </c>
      <c r="AB34" s="334">
        <f ca="1">'Balance Sheet'!AH19</f>
        <v>1863741.4577048789</v>
      </c>
      <c r="AC34" s="334">
        <f ca="1">'Balance Sheet'!AI19</f>
        <v>2821767.2882357761</v>
      </c>
      <c r="AD34" s="334">
        <f ca="1">'Balance Sheet'!AJ19</f>
        <v>856273.53846796881</v>
      </c>
      <c r="AE34" s="334">
        <f ca="1">'Balance Sheet'!AK19</f>
        <v>1939353.6503707182</v>
      </c>
      <c r="AF34" s="334">
        <f ca="1">'Balance Sheet'!AL19</f>
        <v>2615976.0760499444</v>
      </c>
      <c r="AG34" s="334">
        <f ca="1">'Balance Sheet'!AM19</f>
        <v>626164.27815668099</v>
      </c>
      <c r="AH34" s="334">
        <f ca="1">'Balance Sheet'!AN19</f>
        <v>1283721.3543661456</v>
      </c>
      <c r="AI34" s="334">
        <f ca="1">'Balance Sheet'!AO19</f>
        <v>1894976.4836217663</v>
      </c>
      <c r="AJ34" s="334">
        <f ca="1">'Balance Sheet'!AP19</f>
        <v>992290.67455697292</v>
      </c>
      <c r="AK34" s="334">
        <f ca="1">'Balance Sheet'!AQ19</f>
        <v>2015303.8579079534</v>
      </c>
      <c r="AL34" s="334">
        <f ca="1">'Balance Sheet'!AR19</f>
        <v>3418867.0913174599</v>
      </c>
      <c r="AM34" s="334">
        <f ca="1">'Balance Sheet'!AS19</f>
        <v>1398848.6756747691</v>
      </c>
      <c r="AN34" s="334">
        <f ca="1">'Balance Sheet'!AT19</f>
        <v>3631502.2061844529</v>
      </c>
      <c r="AO34" s="334">
        <f ca="1">'Balance Sheet'!AU19</f>
        <v>5017673.1443326734</v>
      </c>
      <c r="AP34" s="334">
        <f ca="1">'Balance Sheet'!AV19</f>
        <v>2184302.8707854748</v>
      </c>
      <c r="AQ34" s="334">
        <f ca="1">'Balance Sheet'!AW19</f>
        <v>4361248.4226934686</v>
      </c>
      <c r="AR34" s="334">
        <f ca="1">'Balance Sheet'!AX19</f>
        <v>6495484.829641548</v>
      </c>
      <c r="AS34" s="334">
        <f ca="1">'Balance Sheet'!AY19</f>
        <v>2546068.8523739846</v>
      </c>
      <c r="AT34" s="334">
        <f ca="1">'Balance Sheet'!AZ19</f>
        <v>5083401.6625602217</v>
      </c>
      <c r="AU34" s="334">
        <f ca="1">'Balance Sheet'!BA19</f>
        <v>7576566.7027095417</v>
      </c>
      <c r="AV34" s="334">
        <f ca="1">'Balance Sheet'!BB19</f>
        <v>2903452.1261376319</v>
      </c>
      <c r="AW34" s="334">
        <f ca="1">'Balance Sheet'!BC19</f>
        <v>5761528.7711953595</v>
      </c>
      <c r="AX34" s="334">
        <f ca="1">'Balance Sheet'!BD19</f>
        <v>9028703.0388964768</v>
      </c>
      <c r="AY34" s="334">
        <f ca="1">'Balance Sheet'!BE19</f>
        <v>3640623.6012510099</v>
      </c>
      <c r="AZ34" s="334">
        <f ca="1">'Balance Sheet'!BF19</f>
        <v>7688925.6553759025</v>
      </c>
      <c r="BA34" s="334">
        <f ca="1">'Balance Sheet'!BG19</f>
        <v>11269262.524777869</v>
      </c>
      <c r="BB34" s="334">
        <f ca="1">'Balance Sheet'!BH19</f>
        <v>4371600.7346764747</v>
      </c>
      <c r="BC34" s="334">
        <f ca="1">'Balance Sheet'!BI19</f>
        <v>9148559.5899135806</v>
      </c>
      <c r="BD34" s="334">
        <f ca="1">'Balance Sheet'!BJ19</f>
        <v>13875100.155230857</v>
      </c>
      <c r="BE34" s="334">
        <f ca="1">'Balance Sheet'!BK19</f>
        <v>5095205.4561690874</v>
      </c>
      <c r="BF34" s="334">
        <f ca="1">'Balance Sheet'!BL19</f>
        <v>10558013.353818972</v>
      </c>
      <c r="BG34" s="334">
        <f ca="1">'Balance Sheet'!BM19</f>
        <v>16002485.711395023</v>
      </c>
      <c r="BH34" s="334">
        <f ca="1">'Balance Sheet'!BN19</f>
        <v>5775046.5295526776</v>
      </c>
      <c r="BI34" s="334">
        <f ca="1">'Balance Sheet'!BO19</f>
        <v>12369419.434663955</v>
      </c>
      <c r="BJ34" s="334">
        <f ca="1">'Balance Sheet'!BP19</f>
        <v>18871987.585062012</v>
      </c>
      <c r="BK34" s="334">
        <f ca="1">'Balance Sheet'!BQ19</f>
        <v>7284466.817497842</v>
      </c>
      <c r="BL34" s="292"/>
      <c r="BM34" s="292"/>
      <c r="BN34" s="292"/>
      <c r="BO34" s="292"/>
      <c r="BP34" s="292"/>
      <c r="BQ34" s="292"/>
      <c r="BR34" s="292"/>
      <c r="BS34" s="327"/>
      <c r="BT34" s="327"/>
      <c r="BU34" s="327"/>
      <c r="BV34" s="327"/>
      <c r="BW34" s="327"/>
      <c r="BX34" s="327"/>
      <c r="BY34" s="327"/>
      <c r="BZ34" s="327"/>
      <c r="CA34" s="327"/>
      <c r="CB34" s="327"/>
      <c r="CC34" s="327"/>
      <c r="CD34" s="327"/>
      <c r="CE34" s="327"/>
      <c r="CF34" s="327"/>
      <c r="CG34" s="327"/>
      <c r="CH34" s="327"/>
      <c r="CI34" s="327"/>
      <c r="CJ34" s="327"/>
      <c r="CK34" s="327"/>
      <c r="CL34" s="327"/>
      <c r="CM34" s="327"/>
      <c r="CN34" s="327"/>
      <c r="CO34" s="327"/>
      <c r="CP34" s="327"/>
      <c r="CQ34" s="327"/>
      <c r="CR34" s="327"/>
      <c r="CS34" s="327"/>
      <c r="CT34" s="327"/>
      <c r="CU34" s="327"/>
      <c r="CV34" s="327"/>
      <c r="CW34" s="327"/>
      <c r="CX34" s="327"/>
      <c r="CY34" s="327"/>
      <c r="CZ34" s="327"/>
      <c r="DA34" s="327"/>
      <c r="DB34" s="327"/>
      <c r="DC34" s="327"/>
      <c r="DD34" s="327"/>
      <c r="DE34" s="327"/>
      <c r="DF34" s="327"/>
      <c r="DG34" s="327"/>
      <c r="DH34" s="327"/>
      <c r="DI34" s="327"/>
      <c r="DJ34" s="327"/>
      <c r="DK34" s="327"/>
      <c r="DL34" s="327"/>
      <c r="DM34" s="327"/>
      <c r="DN34" s="327"/>
      <c r="DO34" s="327"/>
      <c r="DP34" s="327"/>
      <c r="DQ34" s="327"/>
      <c r="DR34" s="327"/>
      <c r="DS34" s="327"/>
      <c r="DT34" s="327"/>
      <c r="DU34" s="327"/>
      <c r="DV34" s="327"/>
      <c r="DW34" s="327"/>
      <c r="DX34" s="327"/>
      <c r="DY34" s="327"/>
      <c r="DZ34" s="327"/>
      <c r="EA34" s="327"/>
      <c r="EB34" s="327"/>
      <c r="EC34" s="327"/>
      <c r="ED34" s="327"/>
      <c r="EE34" s="327"/>
      <c r="EF34" s="327"/>
      <c r="EG34" s="327"/>
      <c r="EH34" s="327"/>
      <c r="EI34" s="327"/>
      <c r="EJ34" s="327"/>
      <c r="EK34" s="327"/>
      <c r="EL34" s="327"/>
      <c r="EM34" s="327"/>
      <c r="EN34" s="327"/>
      <c r="EO34" s="327"/>
      <c r="EP34" s="327"/>
      <c r="EQ34" s="327"/>
      <c r="ER34" s="327"/>
      <c r="ES34" s="327"/>
      <c r="ET34" s="327"/>
      <c r="EU34" s="327"/>
      <c r="EV34" s="327"/>
      <c r="EW34" s="327"/>
      <c r="EX34" s="327"/>
      <c r="EY34" s="327"/>
      <c r="EZ34" s="327"/>
      <c r="FA34" s="327"/>
      <c r="FB34" s="327"/>
      <c r="FC34" s="327"/>
      <c r="FD34" s="327"/>
      <c r="FE34" s="327"/>
      <c r="FF34" s="327"/>
      <c r="FG34" s="327"/>
      <c r="FH34" s="327"/>
      <c r="FI34" s="327"/>
      <c r="FJ34" s="327"/>
      <c r="FK34" s="327"/>
      <c r="FL34" s="327"/>
      <c r="FM34" s="327"/>
      <c r="FN34" s="327"/>
      <c r="FO34" s="327"/>
      <c r="FP34" s="327"/>
      <c r="FQ34" s="327"/>
      <c r="FR34" s="327"/>
      <c r="FS34" s="327"/>
      <c r="FT34" s="327"/>
      <c r="FU34" s="327"/>
      <c r="FV34" s="327"/>
      <c r="FW34" s="327"/>
      <c r="FX34" s="327"/>
      <c r="FY34" s="327"/>
      <c r="FZ34" s="327"/>
      <c r="GA34" s="327"/>
      <c r="GB34" s="327"/>
      <c r="GC34" s="327"/>
      <c r="GD34" s="327"/>
      <c r="GE34" s="327"/>
      <c r="GF34" s="327"/>
      <c r="GG34" s="327"/>
      <c r="GH34" s="327"/>
      <c r="GI34" s="327"/>
      <c r="GJ34" s="327"/>
      <c r="GK34" s="327"/>
      <c r="GL34" s="327"/>
      <c r="GM34" s="327"/>
      <c r="GN34" s="327"/>
      <c r="GO34" s="327"/>
      <c r="GP34" s="327"/>
      <c r="GQ34" s="327"/>
      <c r="GR34" s="327"/>
      <c r="GS34" s="327"/>
      <c r="GT34" s="327"/>
      <c r="GU34" s="327"/>
      <c r="GV34" s="327"/>
      <c r="GW34" s="327"/>
      <c r="GX34" s="327"/>
      <c r="GY34" s="327"/>
      <c r="GZ34" s="327"/>
      <c r="HA34" s="327"/>
      <c r="HB34" s="327"/>
      <c r="HC34" s="327"/>
      <c r="HD34" s="327"/>
      <c r="HE34" s="327"/>
      <c r="HF34" s="327"/>
      <c r="HG34" s="327"/>
      <c r="HH34" s="327"/>
      <c r="HI34" s="327"/>
      <c r="HJ34" s="327"/>
      <c r="HK34" s="327"/>
      <c r="HL34" s="327"/>
      <c r="HM34" s="327"/>
      <c r="HN34" s="327"/>
      <c r="HO34" s="327"/>
      <c r="HP34" s="327"/>
      <c r="HQ34" s="327"/>
      <c r="HR34" s="327"/>
      <c r="HS34" s="327"/>
      <c r="HT34" s="327"/>
      <c r="HU34" s="327"/>
      <c r="HV34" s="327"/>
      <c r="HW34" s="327"/>
      <c r="HX34" s="327"/>
      <c r="HY34" s="327"/>
      <c r="HZ34" s="327"/>
      <c r="IA34" s="327"/>
      <c r="IB34" s="327"/>
      <c r="IC34" s="327"/>
      <c r="ID34" s="327"/>
      <c r="IE34" s="327"/>
      <c r="IF34" s="327"/>
      <c r="IG34" s="327"/>
      <c r="IH34" s="327"/>
      <c r="II34" s="327"/>
      <c r="IJ34" s="327"/>
      <c r="IK34" s="327"/>
      <c r="IL34" s="327"/>
      <c r="IM34" s="327"/>
      <c r="IN34" s="327"/>
      <c r="IO34" s="327"/>
      <c r="IP34" s="327"/>
      <c r="IQ34" s="327"/>
      <c r="IR34" s="327"/>
    </row>
    <row r="35" spans="1:252">
      <c r="A35" s="329"/>
      <c r="B35" s="316" t="str">
        <f>'Balance Sheet'!E20</f>
        <v>Corporation tax creditor</v>
      </c>
      <c r="C35" s="292"/>
      <c r="D35" s="334">
        <f ca="1">'Balance Sheet'!J20</f>
        <v>0</v>
      </c>
      <c r="E35" s="334">
        <f ca="1">'Balance Sheet'!K20</f>
        <v>0</v>
      </c>
      <c r="F35" s="334">
        <f ca="1">'Balance Sheet'!L20</f>
        <v>0</v>
      </c>
      <c r="G35" s="334">
        <f ca="1">'Balance Sheet'!M20</f>
        <v>0</v>
      </c>
      <c r="H35" s="334">
        <f ca="1">'Balance Sheet'!N20</f>
        <v>0</v>
      </c>
      <c r="I35" s="334">
        <f ca="1">'Balance Sheet'!O20</f>
        <v>0</v>
      </c>
      <c r="J35" s="334">
        <f ca="1">'Balance Sheet'!P20</f>
        <v>36589.187229040661</v>
      </c>
      <c r="K35" s="334">
        <f ca="1">'Balance Sheet'!Q20</f>
        <v>80343.088568888634</v>
      </c>
      <c r="L35" s="334">
        <f ca="1">'Balance Sheet'!R20</f>
        <v>138096.98990873661</v>
      </c>
      <c r="M35" s="334">
        <f ca="1">'Balance Sheet'!S20</f>
        <v>195723.33616804826</v>
      </c>
      <c r="N35" s="334">
        <f ca="1">'Balance Sheet'!T20</f>
        <v>323349.68242735992</v>
      </c>
      <c r="O35" s="334">
        <f ca="1">'Balance Sheet'!U20</f>
        <v>450976.02868667158</v>
      </c>
      <c r="P35" s="334">
        <f ca="1">'Balance Sheet'!V20</f>
        <v>645978.57872358116</v>
      </c>
      <c r="Q35" s="334">
        <f ca="1">'Balance Sheet'!W20</f>
        <v>896416.38099716289</v>
      </c>
      <c r="R35" s="334">
        <f ca="1">'Balance Sheet'!X20</f>
        <v>1155969.6821670486</v>
      </c>
      <c r="S35" s="334">
        <f ca="1">'Balance Sheet'!Y20</f>
        <v>325438.66699015209</v>
      </c>
      <c r="T35" s="334">
        <f ca="1">'Balance Sheet'!Z20</f>
        <v>648741.11518224888</v>
      </c>
      <c r="U35" s="334">
        <f ca="1">'Balance Sheet'!AA20</f>
        <v>968709.86762981722</v>
      </c>
      <c r="V35" s="334">
        <f ca="1">'Balance Sheet'!AB20</f>
        <v>1285009.888752877</v>
      </c>
      <c r="W35" s="334">
        <f ca="1">'Balance Sheet'!AC20</f>
        <v>1597567.962922093</v>
      </c>
      <c r="X35" s="334">
        <f ca="1">'Balance Sheet'!AD20</f>
        <v>1906161.5823926614</v>
      </c>
      <c r="Y35" s="334">
        <f ca="1">'Balance Sheet'!AE20</f>
        <v>2245414.431546838</v>
      </c>
      <c r="Z35" s="334">
        <f ca="1">'Balance Sheet'!AF20</f>
        <v>2615217.3307595411</v>
      </c>
      <c r="AA35" s="334">
        <f ca="1">'Balance Sheet'!AG20</f>
        <v>3015305.6722375061</v>
      </c>
      <c r="AB35" s="334">
        <f ca="1">'Balance Sheet'!AH20</f>
        <v>3465700.2461692989</v>
      </c>
      <c r="AC35" s="334">
        <f ca="1">'Balance Sheet'!AI20</f>
        <v>3938802.9079692853</v>
      </c>
      <c r="AD35" s="334">
        <f ca="1">'Balance Sheet'!AJ20</f>
        <v>4469298.9841670301</v>
      </c>
      <c r="AE35" s="334">
        <f ca="1">'Balance Sheet'!AK20</f>
        <v>552409.1273615323</v>
      </c>
      <c r="AF35" s="334">
        <f ca="1">'Balance Sheet'!AL20</f>
        <v>1132405.0751639511</v>
      </c>
      <c r="AG35" s="334">
        <f ca="1">'Balance Sheet'!AM20</f>
        <v>1754733.6314773127</v>
      </c>
      <c r="AH35" s="334">
        <f ca="1">'Balance Sheet'!AN20</f>
        <v>2418847.7838962418</v>
      </c>
      <c r="AI35" s="334">
        <f ca="1">'Balance Sheet'!AO20</f>
        <v>3095358.0424074833</v>
      </c>
      <c r="AJ35" s="334">
        <f ca="1">'Balance Sheet'!AP20</f>
        <v>3833939.3915214296</v>
      </c>
      <c r="AK35" s="334">
        <f ca="1">'Balance Sheet'!AQ20</f>
        <v>4598965.7582233911</v>
      </c>
      <c r="AL35" s="334">
        <f ca="1">'Balance Sheet'!AR20</f>
        <v>5425092.2250424046</v>
      </c>
      <c r="AM35" s="334">
        <f ca="1">'Balance Sheet'!AS20</f>
        <v>6311789.5763919428</v>
      </c>
      <c r="AN35" s="334">
        <f ca="1">'Balance Sheet'!AT20</f>
        <v>7289015.4291087352</v>
      </c>
      <c r="AO35" s="334">
        <f ca="1">'Balance Sheet'!AU20</f>
        <v>8318989.9254117729</v>
      </c>
      <c r="AP35" s="334">
        <f ca="1">'Balance Sheet'!AV20</f>
        <v>9433606.0379642248</v>
      </c>
      <c r="AQ35" s="334">
        <f ca="1">'Balance Sheet'!AW20</f>
        <v>1230804.2380511686</v>
      </c>
      <c r="AR35" s="334">
        <f ca="1">'Balance Sheet'!AX20</f>
        <v>2539470.791286557</v>
      </c>
      <c r="AS35" s="334">
        <f ca="1">'Balance Sheet'!AY20</f>
        <v>3957304.760690697</v>
      </c>
      <c r="AT35" s="334">
        <f ca="1">'Balance Sheet'!AZ20</f>
        <v>5480225.8980286587</v>
      </c>
      <c r="AU35" s="334">
        <f ca="1">'Balance Sheet'!BA20</f>
        <v>7104252.4584738994</v>
      </c>
      <c r="AV35" s="334">
        <f ca="1">'Balance Sheet'!BB20</f>
        <v>8824990.4418280069</v>
      </c>
      <c r="AW35" s="334">
        <f ca="1">'Balance Sheet'!BC20</f>
        <v>10672614.55275248</v>
      </c>
      <c r="AX35" s="334">
        <f ca="1">'Balance Sheet'!BD20</f>
        <v>12642362.707076013</v>
      </c>
      <c r="AY35" s="334">
        <f ca="1">'Balance Sheet'!BE20</f>
        <v>14764009.528499331</v>
      </c>
      <c r="AZ35" s="334">
        <f ca="1">'Balance Sheet'!BF20</f>
        <v>17025550.839065265</v>
      </c>
      <c r="BA35" s="334">
        <f ca="1">'Balance Sheet'!BG20</f>
        <v>19421289.436803691</v>
      </c>
      <c r="BB35" s="334">
        <f ca="1">'Balance Sheet'!BH20</f>
        <v>21980011.267040946</v>
      </c>
      <c r="BC35" s="334">
        <f ca="1">'Balance Sheet'!BI20</f>
        <v>2714943.5978658721</v>
      </c>
      <c r="BD35" s="334">
        <f ca="1">'Balance Sheet'!BJ20</f>
        <v>5601711.8261001837</v>
      </c>
      <c r="BE35" s="334">
        <f ca="1">'Balance Sheet'!BK20</f>
        <v>8652914.8866719976</v>
      </c>
      <c r="BF35" s="334">
        <f ca="1">'Balance Sheet'!BL20</f>
        <v>11895541.334824042</v>
      </c>
      <c r="BG35" s="334">
        <f ca="1">'Balance Sheet'!BM20</f>
        <v>15308878.629190644</v>
      </c>
      <c r="BH35" s="334">
        <f ca="1">'Balance Sheet'!BN20</f>
        <v>18919138.769374978</v>
      </c>
      <c r="BI35" s="334">
        <f ca="1">'Balance Sheet'!BO20</f>
        <v>22751825.840136867</v>
      </c>
      <c r="BJ35" s="334">
        <f ca="1">'Balance Sheet'!BP20</f>
        <v>26797260.997696877</v>
      </c>
      <c r="BK35" s="334">
        <f ca="1">'Balance Sheet'!BQ20</f>
        <v>31079993.489456456</v>
      </c>
      <c r="BL35" s="329"/>
      <c r="BM35" s="329"/>
      <c r="BN35" s="329"/>
      <c r="BO35" s="329"/>
      <c r="BP35" s="329"/>
      <c r="BQ35" s="329"/>
      <c r="BR35" s="329"/>
      <c r="BS35" s="329"/>
      <c r="BT35" s="329"/>
      <c r="BU35" s="329"/>
      <c r="BV35" s="329"/>
      <c r="BW35" s="329"/>
      <c r="BX35" s="329"/>
      <c r="BY35" s="329"/>
      <c r="BZ35" s="329"/>
      <c r="CA35" s="329"/>
      <c r="CB35" s="329"/>
      <c r="CC35" s="329"/>
      <c r="CD35" s="329"/>
      <c r="CE35" s="329"/>
      <c r="CF35" s="329"/>
      <c r="CG35" s="329"/>
      <c r="CH35" s="329"/>
      <c r="CI35" s="329"/>
      <c r="CJ35" s="329"/>
      <c r="CK35" s="329"/>
      <c r="CL35" s="329"/>
      <c r="CM35" s="329"/>
      <c r="CN35" s="329"/>
      <c r="CO35" s="329"/>
      <c r="CP35" s="329"/>
      <c r="CQ35" s="329"/>
      <c r="CR35" s="329"/>
      <c r="CS35" s="329"/>
      <c r="CT35" s="329"/>
      <c r="CU35" s="329"/>
      <c r="CV35" s="329"/>
      <c r="CW35" s="329"/>
      <c r="CX35" s="329"/>
      <c r="CY35" s="329"/>
      <c r="CZ35" s="329"/>
      <c r="DA35" s="329"/>
      <c r="DB35" s="329"/>
      <c r="DC35" s="329"/>
      <c r="DD35" s="329"/>
      <c r="DE35" s="329"/>
      <c r="DF35" s="329"/>
      <c r="DG35" s="329"/>
      <c r="DH35" s="329"/>
      <c r="DI35" s="329"/>
      <c r="DJ35" s="329"/>
      <c r="DK35" s="329"/>
      <c r="DL35" s="329"/>
      <c r="DM35" s="329"/>
      <c r="DN35" s="329"/>
      <c r="DO35" s="329"/>
      <c r="DP35" s="329"/>
      <c r="DQ35" s="329"/>
      <c r="DR35" s="329"/>
      <c r="DS35" s="329"/>
      <c r="DT35" s="329"/>
      <c r="DU35" s="329"/>
      <c r="DV35" s="329"/>
      <c r="DW35" s="329"/>
      <c r="DX35" s="329"/>
      <c r="DY35" s="329"/>
      <c r="DZ35" s="329"/>
      <c r="EA35" s="329"/>
      <c r="EB35" s="329"/>
      <c r="EC35" s="329"/>
      <c r="ED35" s="329"/>
      <c r="EE35" s="329"/>
      <c r="EF35" s="329"/>
      <c r="EG35" s="329"/>
      <c r="EH35" s="329"/>
      <c r="EI35" s="329"/>
      <c r="EJ35" s="329"/>
      <c r="EK35" s="329"/>
      <c r="EL35" s="329"/>
      <c r="EM35" s="329"/>
      <c r="EN35" s="329"/>
      <c r="EO35" s="329"/>
      <c r="EP35" s="329"/>
      <c r="EQ35" s="329"/>
      <c r="ER35" s="329"/>
      <c r="ES35" s="329"/>
      <c r="ET35" s="329"/>
      <c r="EU35" s="329"/>
      <c r="EV35" s="329"/>
      <c r="EW35" s="329"/>
      <c r="EX35" s="329"/>
      <c r="EY35" s="329"/>
      <c r="EZ35" s="329"/>
      <c r="FA35" s="329"/>
      <c r="FB35" s="329"/>
      <c r="FC35" s="329"/>
      <c r="FD35" s="329"/>
      <c r="FE35" s="329"/>
      <c r="FF35" s="329"/>
      <c r="FG35" s="329"/>
      <c r="FH35" s="329"/>
      <c r="FI35" s="329"/>
      <c r="FJ35" s="329"/>
      <c r="FK35" s="329"/>
      <c r="FL35" s="329"/>
      <c r="FM35" s="329"/>
      <c r="FN35" s="329"/>
      <c r="FO35" s="329"/>
      <c r="FP35" s="329"/>
      <c r="FQ35" s="329"/>
      <c r="FR35" s="329"/>
      <c r="FS35" s="329"/>
      <c r="FT35" s="329"/>
      <c r="FU35" s="329"/>
      <c r="FV35" s="329"/>
      <c r="FW35" s="329"/>
      <c r="FX35" s="329"/>
      <c r="FY35" s="329"/>
      <c r="FZ35" s="329"/>
      <c r="GA35" s="329"/>
      <c r="GB35" s="329"/>
      <c r="GC35" s="329"/>
      <c r="GD35" s="329"/>
      <c r="GE35" s="329"/>
      <c r="GF35" s="329"/>
      <c r="GG35" s="329"/>
      <c r="GH35" s="329"/>
      <c r="GI35" s="329"/>
      <c r="GJ35" s="329"/>
      <c r="GK35" s="329"/>
      <c r="GL35" s="329"/>
      <c r="GM35" s="329"/>
      <c r="GN35" s="329"/>
      <c r="GO35" s="329"/>
      <c r="GP35" s="329"/>
      <c r="GQ35" s="329"/>
      <c r="GR35" s="329"/>
      <c r="GS35" s="329"/>
      <c r="GT35" s="329"/>
      <c r="GU35" s="329"/>
      <c r="GV35" s="329"/>
      <c r="GW35" s="329"/>
      <c r="GX35" s="329"/>
      <c r="GY35" s="329"/>
      <c r="GZ35" s="329"/>
      <c r="HA35" s="329"/>
      <c r="HB35" s="329"/>
      <c r="HC35" s="329"/>
      <c r="HD35" s="329"/>
      <c r="HE35" s="329"/>
      <c r="HF35" s="329"/>
      <c r="HG35" s="329"/>
      <c r="HH35" s="329"/>
      <c r="HI35" s="329"/>
      <c r="HJ35" s="329"/>
      <c r="HK35" s="329"/>
      <c r="HL35" s="329"/>
      <c r="HM35" s="329"/>
      <c r="HN35" s="329"/>
      <c r="HO35" s="329"/>
      <c r="HP35" s="329"/>
      <c r="HQ35" s="329"/>
      <c r="HR35" s="329"/>
      <c r="HS35" s="329"/>
      <c r="HT35" s="329"/>
      <c r="HU35" s="329"/>
      <c r="HV35" s="329"/>
      <c r="HW35" s="329"/>
      <c r="HX35" s="329"/>
      <c r="HY35" s="329"/>
      <c r="HZ35" s="329"/>
      <c r="IA35" s="329"/>
      <c r="IB35" s="329"/>
      <c r="IC35" s="329"/>
      <c r="ID35" s="329"/>
      <c r="IE35" s="329"/>
      <c r="IF35" s="329"/>
      <c r="IG35" s="329"/>
      <c r="IH35" s="329"/>
      <c r="II35" s="329"/>
      <c r="IJ35" s="329"/>
      <c r="IK35" s="329"/>
      <c r="IL35" s="329"/>
      <c r="IM35" s="329"/>
      <c r="IN35" s="329"/>
      <c r="IO35" s="329"/>
      <c r="IP35" s="329"/>
      <c r="IQ35" s="329"/>
      <c r="IR35" s="329"/>
    </row>
    <row r="36" spans="1:252">
      <c r="B36" s="327" t="str">
        <f>'Balance Sheet'!E21</f>
        <v>Liabilities</v>
      </c>
      <c r="C36" s="323"/>
      <c r="D36" s="335">
        <f ca="1">'Balance Sheet'!J21</f>
        <v>-6700</v>
      </c>
      <c r="E36" s="335">
        <f ca="1">'Balance Sheet'!K21</f>
        <v>-13400</v>
      </c>
      <c r="F36" s="335">
        <f ca="1">'Balance Sheet'!L21</f>
        <v>1176300</v>
      </c>
      <c r="G36" s="335">
        <f ca="1">'Balance Sheet'!M21</f>
        <v>1813539.2143148654</v>
      </c>
      <c r="H36" s="335">
        <f ca="1">'Balance Sheet'!N21</f>
        <v>2407378.4286297308</v>
      </c>
      <c r="I36" s="335">
        <f ca="1">'Balance Sheet'!O21</f>
        <v>2623839.2143148654</v>
      </c>
      <c r="J36" s="335">
        <f ca="1">'Balance Sheet'!P21</f>
        <v>5060205.3522138307</v>
      </c>
      <c r="K36" s="335">
        <f ca="1">'Balance Sheet'!Q21</f>
        <v>6137336.2042236021</v>
      </c>
      <c r="L36" s="335">
        <f ca="1">'Balance Sheet'!R21</f>
        <v>5973473.94057866</v>
      </c>
      <c r="M36" s="335">
        <f ca="1">'Balance Sheet'!S21</f>
        <v>5188413.4599676281</v>
      </c>
      <c r="N36" s="335">
        <f ca="1">'Balance Sheet'!T21</f>
        <v>9163352.9793565962</v>
      </c>
      <c r="O36" s="335">
        <f ca="1">'Balance Sheet'!U21</f>
        <v>7525289.2018163269</v>
      </c>
      <c r="P36" s="335">
        <f ca="1">'Balance Sheet'!V21</f>
        <v>11216293.026871692</v>
      </c>
      <c r="Q36" s="335">
        <f ca="1">'Balance Sheet'!W21</f>
        <v>14106850.082403323</v>
      </c>
      <c r="R36" s="335">
        <f ca="1">'Balance Sheet'!X21</f>
        <v>12996365.791608211</v>
      </c>
      <c r="S36" s="335">
        <f ca="1">'Balance Sheet'!Y21</f>
        <v>15810364.439656546</v>
      </c>
      <c r="T36" s="335">
        <f ca="1">'Balance Sheet'!Z21</f>
        <v>14877064.822612792</v>
      </c>
      <c r="U36" s="335">
        <f ca="1">'Balance Sheet'!AA21</f>
        <v>12862340.057248229</v>
      </c>
      <c r="V36" s="335">
        <f ca="1">'Balance Sheet'!AB21</f>
        <v>13861790.08893282</v>
      </c>
      <c r="W36" s="335">
        <f ca="1">'Balance Sheet'!AC21</f>
        <v>13970127.200186644</v>
      </c>
      <c r="X36" s="335">
        <f ca="1">'Balance Sheet'!AD21</f>
        <v>12821104.205522573</v>
      </c>
      <c r="Y36" s="335">
        <f ca="1">'Balance Sheet'!AE21</f>
        <v>13637983.47925384</v>
      </c>
      <c r="Z36" s="335">
        <f ca="1">'Balance Sheet'!AF21</f>
        <v>19348187.828072894</v>
      </c>
      <c r="AA36" s="335">
        <f ca="1">'Balance Sheet'!AG21</f>
        <v>18172495.656371117</v>
      </c>
      <c r="AB36" s="335">
        <f ca="1">'Balance Sheet'!AH21</f>
        <v>25984587.517268807</v>
      </c>
      <c r="AC36" s="335">
        <f ca="1">'Balance Sheet'!AI21</f>
        <v>30274088.50775421</v>
      </c>
      <c r="AD36" s="335">
        <f ca="1">'Balance Sheet'!AJ21</f>
        <v>30702218.336029626</v>
      </c>
      <c r="AE36" s="335">
        <f ca="1">'Balance Sheet'!AK21</f>
        <v>30926286.332236793</v>
      </c>
      <c r="AF36" s="335">
        <f ca="1">'Balance Sheet'!AL21</f>
        <v>33017026.964608528</v>
      </c>
      <c r="AG36" s="335">
        <f ca="1">'Balance Sheet'!AM21</f>
        <v>32335543.723028623</v>
      </c>
      <c r="AH36" s="335">
        <f ca="1">'Balance Sheet'!AN21</f>
        <v>33940714.95165702</v>
      </c>
      <c r="AI36" s="335">
        <f ca="1">'Balance Sheet'!AO21</f>
        <v>35347480.33942388</v>
      </c>
      <c r="AJ36" s="335">
        <f ca="1">'Balance Sheet'!AP21</f>
        <v>37356875.879473031</v>
      </c>
      <c r="AK36" s="335">
        <f ca="1">'Balance Sheet'!AQ21</f>
        <v>40838915.429525971</v>
      </c>
      <c r="AL36" s="335">
        <f ca="1">'Balance Sheet'!AR21</f>
        <v>46670105.129754491</v>
      </c>
      <c r="AM36" s="335">
        <f ca="1">'Balance Sheet'!AS21</f>
        <v>48641284.065461338</v>
      </c>
      <c r="AN36" s="335">
        <f ca="1">'Balance Sheet'!AT21</f>
        <v>58788069.490200698</v>
      </c>
      <c r="AO36" s="335">
        <f ca="1">'Balance Sheet'!AU21</f>
        <v>63465551.824618965</v>
      </c>
      <c r="AP36" s="335">
        <f ca="1">'Balance Sheet'!AV21</f>
        <v>67726745.808716714</v>
      </c>
      <c r="AQ36" s="335">
        <f ca="1">'Balance Sheet'!AW21</f>
        <v>67173323.889535755</v>
      </c>
      <c r="AR36" s="335">
        <f ca="1">'Balance Sheet'!AX21</f>
        <v>75632758.153023079</v>
      </c>
      <c r="AS36" s="335">
        <f ca="1">'Balance Sheet'!AY21</f>
        <v>79590194.821878806</v>
      </c>
      <c r="AT36" s="335">
        <f ca="1">'Balance Sheet'!AZ21</f>
        <v>89526671.184575558</v>
      </c>
      <c r="AU36" s="335">
        <f ca="1">'Balance Sheet'!BA21</f>
        <v>99080380.384437114</v>
      </c>
      <c r="AV36" s="335">
        <f ca="1">'Balance Sheet'!BB21</f>
        <v>102936835.13582511</v>
      </c>
      <c r="AW36" s="335">
        <f ca="1">'Balance Sheet'!BC21</f>
        <v>113870681.78776221</v>
      </c>
      <c r="AX36" s="335">
        <f ca="1">'Balance Sheet'!BD21</f>
        <v>126569106.11518037</v>
      </c>
      <c r="AY36" s="335">
        <f ca="1">'Balance Sheet'!BE21</f>
        <v>132146675.40435174</v>
      </c>
      <c r="AZ36" s="335">
        <f ca="1">'Balance Sheet'!BF21</f>
        <v>148577832.75746182</v>
      </c>
      <c r="BA36" s="335">
        <f ca="1">'Balance Sheet'!BG21</f>
        <v>161785083.92992976</v>
      </c>
      <c r="BB36" s="335">
        <f ca="1">'Balance Sheet'!BH21</f>
        <v>168082542.16564411</v>
      </c>
      <c r="BC36" s="335">
        <f ca="1">'Balance Sheet'!BI21</f>
        <v>165256303.91474783</v>
      </c>
      <c r="BD36" s="335">
        <f ca="1">'Balance Sheet'!BJ21</f>
        <v>183675677.22030061</v>
      </c>
      <c r="BE36" s="335">
        <f ca="1">'Balance Sheet'!BK21</f>
        <v>189878024.84064248</v>
      </c>
      <c r="BF36" s="335">
        <f ca="1">'Balance Sheet'!BL21</f>
        <v>211640905.92218307</v>
      </c>
      <c r="BG36" s="335">
        <f ca="1">'Balance Sheet'!BM21</f>
        <v>232372252.6780532</v>
      </c>
      <c r="BH36" s="335">
        <f ca="1">'Balance Sheet'!BN21</f>
        <v>238717738.23100027</v>
      </c>
      <c r="BI36" s="335">
        <f ca="1">'Balance Sheet'!BO21</f>
        <v>264988591.9041768</v>
      </c>
      <c r="BJ36" s="335">
        <f ca="1">'Balance Sheet'!BP21</f>
        <v>290266600.9283154</v>
      </c>
      <c r="BK36" s="335">
        <f ca="1">'Balance Sheet'!BQ21</f>
        <v>300484818.36869133</v>
      </c>
      <c r="IR36" s="316"/>
    </row>
    <row r="37" spans="1:252" s="336" customFormat="1">
      <c r="A37" s="316"/>
      <c r="B37" s="316"/>
      <c r="C37" s="292"/>
      <c r="D37" s="334"/>
      <c r="E37" s="334"/>
      <c r="F37" s="334"/>
      <c r="G37" s="334"/>
      <c r="H37" s="334"/>
      <c r="I37" s="334"/>
      <c r="J37" s="334"/>
      <c r="K37" s="334"/>
      <c r="L37" s="334"/>
      <c r="M37" s="334"/>
      <c r="N37" s="334"/>
      <c r="O37" s="334"/>
      <c r="P37" s="334"/>
      <c r="Q37" s="334"/>
      <c r="R37" s="334"/>
      <c r="S37" s="334"/>
      <c r="T37" s="334"/>
      <c r="U37" s="334"/>
      <c r="V37" s="334"/>
      <c r="W37" s="334"/>
      <c r="X37" s="334"/>
      <c r="Y37" s="334"/>
      <c r="Z37" s="334"/>
      <c r="AA37" s="334"/>
      <c r="AB37" s="334"/>
      <c r="AC37" s="334"/>
      <c r="AD37" s="334"/>
      <c r="AE37" s="334"/>
      <c r="AF37" s="334"/>
      <c r="AG37" s="334"/>
      <c r="AH37" s="334"/>
      <c r="AI37" s="334"/>
      <c r="AJ37" s="334"/>
      <c r="AK37" s="334"/>
      <c r="AL37" s="334"/>
      <c r="AM37" s="334"/>
      <c r="AN37" s="334"/>
      <c r="AO37" s="334"/>
      <c r="AP37" s="334"/>
      <c r="AQ37" s="334"/>
      <c r="AR37" s="334"/>
      <c r="AS37" s="334"/>
      <c r="AT37" s="334"/>
      <c r="AU37" s="334"/>
      <c r="AV37" s="334"/>
      <c r="AW37" s="334"/>
      <c r="AX37" s="334"/>
      <c r="AY37" s="334"/>
      <c r="AZ37" s="334"/>
      <c r="BA37" s="334"/>
      <c r="BB37" s="334"/>
      <c r="BC37" s="334"/>
      <c r="BD37" s="334"/>
      <c r="BE37" s="334"/>
      <c r="BF37" s="334"/>
      <c r="BG37" s="334"/>
      <c r="BH37" s="334"/>
      <c r="BI37" s="334"/>
      <c r="BJ37" s="334"/>
      <c r="BK37" s="334"/>
      <c r="BL37" s="316"/>
      <c r="BM37" s="316"/>
      <c r="BN37" s="316"/>
      <c r="BO37" s="316"/>
      <c r="BP37" s="316"/>
      <c r="BQ37" s="316"/>
      <c r="BR37" s="316"/>
      <c r="BS37" s="316"/>
      <c r="BT37" s="316"/>
      <c r="BU37" s="316"/>
      <c r="BV37" s="316"/>
      <c r="BW37" s="316"/>
      <c r="BX37" s="316"/>
      <c r="BY37" s="316"/>
      <c r="BZ37" s="316"/>
      <c r="CA37" s="316"/>
      <c r="CB37" s="316"/>
      <c r="CC37" s="316"/>
      <c r="CD37" s="316"/>
      <c r="CE37" s="316"/>
      <c r="CF37" s="316"/>
      <c r="CG37" s="316"/>
      <c r="CH37" s="316"/>
      <c r="CI37" s="316"/>
      <c r="CJ37" s="316"/>
      <c r="CK37" s="316"/>
      <c r="CL37" s="316"/>
      <c r="CM37" s="316"/>
      <c r="CN37" s="316"/>
      <c r="CO37" s="316"/>
      <c r="CP37" s="316"/>
      <c r="CQ37" s="316"/>
      <c r="CR37" s="316"/>
      <c r="CS37" s="316"/>
      <c r="CT37" s="316"/>
      <c r="CU37" s="316"/>
      <c r="CV37" s="316"/>
      <c r="CW37" s="316"/>
      <c r="CX37" s="316"/>
      <c r="CY37" s="316"/>
      <c r="CZ37" s="316"/>
      <c r="DA37" s="316"/>
      <c r="DB37" s="316"/>
      <c r="DC37" s="316"/>
      <c r="DD37" s="316"/>
      <c r="DE37" s="316"/>
      <c r="DF37" s="316"/>
      <c r="DG37" s="316"/>
      <c r="DH37" s="316"/>
      <c r="DI37" s="316"/>
      <c r="DJ37" s="316"/>
      <c r="DK37" s="316"/>
      <c r="DL37" s="316"/>
      <c r="DM37" s="316"/>
      <c r="DN37" s="316"/>
      <c r="DO37" s="316"/>
      <c r="DP37" s="316"/>
      <c r="DQ37" s="316"/>
      <c r="DR37" s="316"/>
      <c r="DS37" s="316"/>
      <c r="DT37" s="316"/>
      <c r="DU37" s="316"/>
      <c r="DV37" s="316"/>
      <c r="DW37" s="316"/>
      <c r="DX37" s="316"/>
      <c r="DY37" s="316"/>
      <c r="DZ37" s="316"/>
      <c r="EA37" s="316"/>
      <c r="EB37" s="316"/>
      <c r="EC37" s="316"/>
      <c r="ED37" s="316"/>
      <c r="EE37" s="316"/>
      <c r="EF37" s="316"/>
      <c r="EG37" s="316"/>
      <c r="EH37" s="316"/>
      <c r="EI37" s="316"/>
      <c r="EJ37" s="316"/>
      <c r="EK37" s="316"/>
      <c r="EL37" s="316"/>
      <c r="EM37" s="316"/>
      <c r="EN37" s="316"/>
      <c r="EO37" s="316"/>
      <c r="EP37" s="316"/>
      <c r="EQ37" s="316"/>
      <c r="ER37" s="316"/>
      <c r="ES37" s="316"/>
      <c r="ET37" s="316"/>
      <c r="EU37" s="316"/>
      <c r="EV37" s="316"/>
      <c r="EW37" s="316"/>
      <c r="EX37" s="316"/>
      <c r="EY37" s="316"/>
      <c r="EZ37" s="316"/>
      <c r="FA37" s="316"/>
      <c r="FB37" s="316"/>
      <c r="FC37" s="316"/>
      <c r="FD37" s="316"/>
      <c r="FE37" s="316"/>
      <c r="FF37" s="316"/>
      <c r="FG37" s="316"/>
      <c r="FH37" s="316"/>
      <c r="FI37" s="316"/>
      <c r="FJ37" s="316"/>
      <c r="FK37" s="316"/>
      <c r="FL37" s="316"/>
      <c r="FM37" s="316"/>
      <c r="FN37" s="316"/>
      <c r="FO37" s="316"/>
      <c r="FP37" s="316"/>
      <c r="FQ37" s="316"/>
      <c r="FR37" s="316"/>
      <c r="FS37" s="316"/>
      <c r="FT37" s="316"/>
      <c r="FU37" s="316"/>
      <c r="FV37" s="316"/>
      <c r="FW37" s="316"/>
      <c r="FX37" s="316"/>
      <c r="FY37" s="316"/>
      <c r="FZ37" s="316"/>
      <c r="GA37" s="316"/>
      <c r="GB37" s="316"/>
      <c r="GC37" s="316"/>
      <c r="GD37" s="316"/>
      <c r="GE37" s="316"/>
      <c r="GF37" s="316"/>
      <c r="GG37" s="316"/>
      <c r="GH37" s="316"/>
      <c r="GI37" s="316"/>
      <c r="GJ37" s="316"/>
      <c r="GK37" s="316"/>
      <c r="GL37" s="316"/>
      <c r="GM37" s="316"/>
      <c r="GN37" s="316"/>
      <c r="GO37" s="316"/>
      <c r="GP37" s="316"/>
      <c r="GQ37" s="316"/>
      <c r="GR37" s="316"/>
      <c r="GS37" s="316"/>
      <c r="GT37" s="316"/>
      <c r="GU37" s="316"/>
      <c r="GV37" s="316"/>
      <c r="GW37" s="316"/>
      <c r="GX37" s="316"/>
      <c r="GY37" s="316"/>
      <c r="GZ37" s="316"/>
      <c r="HA37" s="316"/>
      <c r="HB37" s="316"/>
      <c r="HC37" s="316"/>
      <c r="HD37" s="316"/>
      <c r="HE37" s="316"/>
      <c r="HF37" s="316"/>
      <c r="HG37" s="316"/>
      <c r="HH37" s="316"/>
      <c r="HI37" s="316"/>
      <c r="HJ37" s="316"/>
      <c r="HK37" s="316"/>
      <c r="HL37" s="316"/>
      <c r="HM37" s="316"/>
      <c r="HN37" s="316"/>
      <c r="HO37" s="316"/>
      <c r="HP37" s="316"/>
      <c r="HQ37" s="316"/>
      <c r="HR37" s="316"/>
      <c r="HS37" s="316"/>
      <c r="HT37" s="316"/>
      <c r="HU37" s="316"/>
      <c r="HV37" s="316"/>
      <c r="HW37" s="316"/>
      <c r="HX37" s="316"/>
      <c r="HY37" s="316"/>
      <c r="HZ37" s="316"/>
      <c r="IA37" s="316"/>
      <c r="IB37" s="316"/>
      <c r="IC37" s="316"/>
      <c r="ID37" s="316"/>
      <c r="IE37" s="316"/>
      <c r="IF37" s="316"/>
      <c r="IG37" s="316"/>
      <c r="IH37" s="316"/>
      <c r="II37" s="316"/>
      <c r="IJ37" s="316"/>
      <c r="IK37" s="316"/>
      <c r="IL37" s="316"/>
      <c r="IM37" s="316"/>
      <c r="IN37" s="316"/>
      <c r="IO37" s="316"/>
      <c r="IP37" s="316"/>
      <c r="IQ37" s="316"/>
      <c r="IR37" s="316"/>
    </row>
    <row r="38" spans="1:252">
      <c r="B38" s="327" t="str">
        <f>'Balance Sheet'!E23</f>
        <v>Net Assets</v>
      </c>
      <c r="C38" s="323"/>
      <c r="D38" s="335">
        <f ca="1">'Balance Sheet'!J23</f>
        <v>-67000</v>
      </c>
      <c r="E38" s="335">
        <f ca="1">'Balance Sheet'!K23</f>
        <v>-141291.66666666666</v>
      </c>
      <c r="F38" s="335">
        <f ca="1">'Balance Sheet'!L23</f>
        <v>-131000</v>
      </c>
      <c r="G38" s="335">
        <f ca="1">'Balance Sheet'!M23</f>
        <v>-86316.190184678882</v>
      </c>
      <c r="H38" s="335">
        <f ca="1">'Balance Sheet'!N23</f>
        <v>-90632.380369357765</v>
      </c>
      <c r="I38" s="335">
        <f ca="1">'Balance Sheet'!O23</f>
        <v>-89115.237220703159</v>
      </c>
      <c r="J38" s="335">
        <f ca="1">'Balance Sheet'!P23</f>
        <v>64773.415582829155</v>
      </c>
      <c r="K38" s="335">
        <f ca="1">'Balance Sheet'!Q23</f>
        <v>217914.0209422214</v>
      </c>
      <c r="L38" s="335">
        <f ca="1">'Balance Sheet'!R23</f>
        <v>441637.95963494666</v>
      </c>
      <c r="M38" s="335">
        <f ca="1">'Balance Sheet'!S23</f>
        <v>635685.0113388598</v>
      </c>
      <c r="N38" s="335">
        <f ca="1">'Balance Sheet'!T23</f>
        <v>1109732.0630427729</v>
      </c>
      <c r="O38" s="335">
        <f ca="1">'Balance Sheet'!U23</f>
        <v>1569195.781413353</v>
      </c>
      <c r="P38" s="335">
        <f ca="1">'Balance Sheet'!V23</f>
        <v>2283580.9815609902</v>
      </c>
      <c r="Q38" s="335">
        <f ca="1">'Balance Sheet'!W23</f>
        <v>3219707.190655319</v>
      </c>
      <c r="R38" s="335">
        <f ca="1">'Balance Sheet'!X23</f>
        <v>4185003.7286681943</v>
      </c>
      <c r="S38" s="335">
        <f ca="1">'Balance Sheet'!Y23</f>
        <v>5413841.7299621347</v>
      </c>
      <c r="T38" s="335">
        <f ca="1">'Balance Sheet'!Z23</f>
        <v>6634134.8560638577</v>
      </c>
      <c r="U38" s="335">
        <f ca="1">'Balance Sheet'!AA23</f>
        <v>7848384.8658541273</v>
      </c>
      <c r="V38" s="335">
        <f ca="1">'Balance Sheet'!AB23</f>
        <v>9040668.2836797014</v>
      </c>
      <c r="W38" s="335">
        <f ca="1">'Balance Sheet'!AC23</f>
        <v>10225275.580356564</v>
      </c>
      <c r="X38" s="335">
        <f ca="1">'Balance Sheet'!AD23</f>
        <v>11379441.724905508</v>
      </c>
      <c r="Y38" s="335">
        <f ca="1">'Balance Sheet'!AE23</f>
        <v>12656244.788188875</v>
      </c>
      <c r="Z38" s="335">
        <f ca="1">'Balance Sheet'!AF23</f>
        <v>14047956.385039687</v>
      </c>
      <c r="AA38" s="335">
        <f ca="1">'Balance Sheet'!AG23</f>
        <v>15546226.417618215</v>
      </c>
      <c r="AB38" s="335">
        <f ca="1">'Balance Sheet'!AH23</f>
        <v>17238429.713345394</v>
      </c>
      <c r="AC38" s="335">
        <f ca="1">'Balance Sheet'!AI23</f>
        <v>19015632.027212005</v>
      </c>
      <c r="AD38" s="335">
        <f ca="1">'Balance Sheet'!AJ23</f>
        <v>21009282.998669654</v>
      </c>
      <c r="AE38" s="335">
        <f ca="1">'Balance Sheet'!AK23</f>
        <v>23084752.841449115</v>
      </c>
      <c r="AF38" s="335">
        <f ca="1">'Balance Sheet'!AL23</f>
        <v>25257444.965992115</v>
      </c>
      <c r="AG38" s="335">
        <f ca="1">'Balance Sheet'!AM23</f>
        <v>27596550.857912235</v>
      </c>
      <c r="AH38" s="335">
        <f ca="1">'Balance Sheet'!AN23</f>
        <v>30085299.134254612</v>
      </c>
      <c r="AI38" s="335">
        <f ca="1">'Balance Sheet'!AO23</f>
        <v>32613423.501632914</v>
      </c>
      <c r="AJ38" s="335">
        <f ca="1">'Balance Sheet'!AP23</f>
        <v>35389832.231422037</v>
      </c>
      <c r="AK38" s="335">
        <f ca="1">'Balance Sheet'!AQ23</f>
        <v>38250146.031563208</v>
      </c>
      <c r="AL38" s="335">
        <f ca="1">'Balance Sheet'!AR23</f>
        <v>41347568.565505944</v>
      </c>
      <c r="AM38" s="335">
        <f ca="1">'Balance Sheet'!AS23</f>
        <v>44665399.637570754</v>
      </c>
      <c r="AN38" s="335">
        <f ca="1">'Balance Sheet'!AT23</f>
        <v>48330761.381771252</v>
      </c>
      <c r="AO38" s="335">
        <f ca="1">'Balance Sheet'!AU23</f>
        <v>52185676.285379782</v>
      </c>
      <c r="AP38" s="335">
        <f ca="1">'Balance Sheet'!AV23</f>
        <v>56358175.60642153</v>
      </c>
      <c r="AQ38" s="335">
        <f ca="1">'Balance Sheet'!AW23</f>
        <v>60974932.064671725</v>
      </c>
      <c r="AR38" s="335">
        <f ca="1">'Balance Sheet'!AX23</f>
        <v>65883158.041314259</v>
      </c>
      <c r="AS38" s="335">
        <f ca="1">'Balance Sheet'!AY23</f>
        <v>71201328.556568488</v>
      </c>
      <c r="AT38" s="335">
        <f ca="1">'Balance Sheet'!AZ23</f>
        <v>76913701.384116977</v>
      </c>
      <c r="AU38" s="335">
        <f ca="1">'Balance Sheet'!BA23</f>
        <v>83012254.393196791</v>
      </c>
      <c r="AV38" s="335">
        <f ca="1">'Balance Sheet'!BB23</f>
        <v>89465477.893249348</v>
      </c>
      <c r="AW38" s="335">
        <f ca="1">'Balance Sheet'!BC23</f>
        <v>96402050.642972484</v>
      </c>
      <c r="AX38" s="335">
        <f ca="1">'Balance Sheet'!BD23</f>
        <v>103789070.17259806</v>
      </c>
      <c r="AY38" s="335">
        <f ca="1">'Balance Sheet'!BE23</f>
        <v>111753699.20434937</v>
      </c>
      <c r="AZ38" s="335">
        <f ca="1">'Balance Sheet'!BF23</f>
        <v>120241447.85933784</v>
      </c>
      <c r="BA38" s="335">
        <f ca="1">'Balance Sheet'!BG23</f>
        <v>129231706.999809</v>
      </c>
      <c r="BB38" s="335">
        <f ca="1">'Balance Sheet'!BH23</f>
        <v>138840539.14181334</v>
      </c>
      <c r="BC38" s="335">
        <f ca="1">'Balance Sheet'!BI23</f>
        <v>149027288.45809257</v>
      </c>
      <c r="BD38" s="335">
        <f ca="1">'Balance Sheet'!BJ23</f>
        <v>159862689.31115657</v>
      </c>
      <c r="BE38" s="335">
        <f ca="1">'Balance Sheet'!BK23</f>
        <v>171313608.40811053</v>
      </c>
      <c r="BF38" s="335">
        <f ca="1">'Balance Sheet'!BL23</f>
        <v>183489157.50316998</v>
      </c>
      <c r="BG38" s="335">
        <f ca="1">'Balance Sheet'!BM23</f>
        <v>196293129.46129221</v>
      </c>
      <c r="BH38" s="335">
        <f ca="1">'Balance Sheet'!BN23</f>
        <v>209841588.2346932</v>
      </c>
      <c r="BI38" s="335">
        <f ca="1">'Balance Sheet'!BO23</f>
        <v>224223343.37584928</v>
      </c>
      <c r="BJ38" s="335">
        <f ca="1">'Balance Sheet'!BP23</f>
        <v>239408429.57681024</v>
      </c>
      <c r="BK38" s="335">
        <f ca="1">'Balance Sheet'!BQ23</f>
        <v>255482005.61535609</v>
      </c>
      <c r="BL38" s="292"/>
      <c r="BM38" s="292"/>
      <c r="BN38" s="292"/>
      <c r="BO38" s="292"/>
      <c r="BP38" s="292"/>
      <c r="BQ38" s="292"/>
      <c r="BR38" s="292"/>
      <c r="BS38" s="327"/>
      <c r="BT38" s="327"/>
      <c r="BU38" s="327"/>
      <c r="BV38" s="327"/>
      <c r="BW38" s="327"/>
      <c r="BX38" s="327"/>
      <c r="BY38" s="327"/>
      <c r="BZ38" s="327"/>
      <c r="CA38" s="327"/>
      <c r="CB38" s="327"/>
      <c r="CC38" s="327"/>
      <c r="CD38" s="327"/>
      <c r="CE38" s="327"/>
      <c r="CF38" s="327"/>
      <c r="CG38" s="327"/>
      <c r="CH38" s="327"/>
      <c r="CI38" s="327"/>
      <c r="CJ38" s="327"/>
      <c r="CK38" s="327"/>
      <c r="CL38" s="327"/>
      <c r="CM38" s="327"/>
      <c r="CN38" s="327"/>
      <c r="CO38" s="327"/>
      <c r="CP38" s="327"/>
      <c r="CQ38" s="327"/>
      <c r="CR38" s="327"/>
      <c r="CS38" s="327"/>
      <c r="CT38" s="327"/>
      <c r="CU38" s="327"/>
      <c r="CV38" s="327"/>
      <c r="CW38" s="327"/>
      <c r="CX38" s="327"/>
      <c r="CY38" s="327"/>
      <c r="CZ38" s="327"/>
      <c r="DA38" s="327"/>
      <c r="DB38" s="327"/>
      <c r="DC38" s="327"/>
      <c r="DD38" s="327"/>
      <c r="DE38" s="327"/>
      <c r="DF38" s="327"/>
      <c r="DG38" s="327"/>
      <c r="DH38" s="327"/>
      <c r="DI38" s="327"/>
      <c r="DJ38" s="327"/>
      <c r="DK38" s="327"/>
      <c r="DL38" s="327"/>
      <c r="DM38" s="327"/>
      <c r="DN38" s="327"/>
      <c r="DO38" s="327"/>
      <c r="DP38" s="327"/>
      <c r="DQ38" s="327"/>
      <c r="DR38" s="327"/>
      <c r="DS38" s="327"/>
      <c r="DT38" s="327"/>
      <c r="DU38" s="327"/>
      <c r="DV38" s="327"/>
      <c r="DW38" s="327"/>
      <c r="DX38" s="327"/>
      <c r="DY38" s="327"/>
      <c r="DZ38" s="327"/>
      <c r="EA38" s="327"/>
      <c r="EB38" s="327"/>
      <c r="EC38" s="327"/>
      <c r="ED38" s="327"/>
      <c r="EE38" s="327"/>
      <c r="EF38" s="327"/>
      <c r="EG38" s="327"/>
      <c r="EH38" s="327"/>
      <c r="EI38" s="327"/>
      <c r="EJ38" s="327"/>
      <c r="EK38" s="327"/>
      <c r="EL38" s="327"/>
      <c r="EM38" s="327"/>
      <c r="EN38" s="327"/>
      <c r="EO38" s="327"/>
      <c r="EP38" s="327"/>
      <c r="EQ38" s="327"/>
      <c r="ER38" s="327"/>
      <c r="ES38" s="327"/>
      <c r="ET38" s="327"/>
      <c r="EU38" s="327"/>
      <c r="EV38" s="327"/>
      <c r="EW38" s="327"/>
      <c r="EX38" s="327"/>
      <c r="EY38" s="327"/>
      <c r="EZ38" s="327"/>
      <c r="FA38" s="327"/>
      <c r="FB38" s="327"/>
      <c r="FC38" s="327"/>
      <c r="FD38" s="327"/>
      <c r="FE38" s="327"/>
      <c r="FF38" s="327"/>
      <c r="FG38" s="327"/>
      <c r="FH38" s="327"/>
      <c r="FI38" s="327"/>
      <c r="FJ38" s="327"/>
      <c r="FK38" s="327"/>
      <c r="FL38" s="327"/>
      <c r="FM38" s="327"/>
      <c r="FN38" s="327"/>
      <c r="FO38" s="327"/>
      <c r="FP38" s="327"/>
      <c r="FQ38" s="327"/>
      <c r="FR38" s="327"/>
      <c r="FS38" s="327"/>
      <c r="FT38" s="327"/>
      <c r="FU38" s="327"/>
      <c r="FV38" s="327"/>
      <c r="FW38" s="327"/>
      <c r="FX38" s="327"/>
      <c r="FY38" s="327"/>
      <c r="FZ38" s="327"/>
      <c r="GA38" s="327"/>
      <c r="GB38" s="327"/>
      <c r="GC38" s="327"/>
      <c r="GD38" s="327"/>
      <c r="GE38" s="327"/>
      <c r="GF38" s="327"/>
      <c r="GG38" s="327"/>
      <c r="GH38" s="327"/>
      <c r="GI38" s="327"/>
      <c r="GJ38" s="327"/>
      <c r="GK38" s="327"/>
      <c r="GL38" s="327"/>
      <c r="GM38" s="327"/>
      <c r="GN38" s="327"/>
      <c r="GO38" s="327"/>
      <c r="GP38" s="327"/>
      <c r="GQ38" s="327"/>
      <c r="GR38" s="327"/>
      <c r="GS38" s="327"/>
      <c r="GT38" s="327"/>
      <c r="GU38" s="327"/>
      <c r="GV38" s="327"/>
      <c r="GW38" s="327"/>
      <c r="GX38" s="327"/>
      <c r="GY38" s="327"/>
      <c r="GZ38" s="327"/>
      <c r="HA38" s="327"/>
      <c r="HB38" s="327"/>
      <c r="HC38" s="327"/>
      <c r="HD38" s="327"/>
      <c r="HE38" s="327"/>
      <c r="HF38" s="327"/>
      <c r="HG38" s="327"/>
      <c r="HH38" s="327"/>
      <c r="HI38" s="327"/>
      <c r="HJ38" s="327"/>
      <c r="HK38" s="327"/>
      <c r="HL38" s="327"/>
      <c r="HM38" s="327"/>
      <c r="HN38" s="327"/>
      <c r="HO38" s="327"/>
      <c r="HP38" s="327"/>
      <c r="HQ38" s="327"/>
      <c r="HR38" s="327"/>
      <c r="HS38" s="327"/>
      <c r="HT38" s="327"/>
      <c r="HU38" s="327"/>
      <c r="HV38" s="327"/>
      <c r="HW38" s="327"/>
      <c r="HX38" s="327"/>
      <c r="HY38" s="327"/>
      <c r="HZ38" s="327"/>
      <c r="IA38" s="327"/>
      <c r="IB38" s="327"/>
      <c r="IC38" s="327"/>
      <c r="ID38" s="327"/>
      <c r="IE38" s="327"/>
      <c r="IF38" s="327"/>
      <c r="IG38" s="327"/>
      <c r="IH38" s="327"/>
      <c r="II38" s="327"/>
      <c r="IJ38" s="327"/>
      <c r="IK38" s="327"/>
      <c r="IL38" s="327"/>
      <c r="IM38" s="327"/>
      <c r="IN38" s="327"/>
      <c r="IO38" s="327"/>
      <c r="IP38" s="327"/>
      <c r="IQ38" s="327"/>
      <c r="IR38" s="327"/>
    </row>
    <row r="39" spans="1:252">
      <c r="C39" s="292"/>
      <c r="D39" s="334"/>
      <c r="E39" s="334"/>
      <c r="F39" s="334"/>
      <c r="G39" s="334"/>
      <c r="H39" s="334"/>
      <c r="I39" s="334"/>
      <c r="J39" s="334"/>
      <c r="K39" s="334"/>
      <c r="L39" s="334"/>
      <c r="M39" s="334"/>
      <c r="N39" s="334"/>
      <c r="O39" s="334"/>
      <c r="P39" s="334"/>
      <c r="Q39" s="334"/>
      <c r="R39" s="334"/>
      <c r="S39" s="334"/>
      <c r="T39" s="334"/>
      <c r="U39" s="334"/>
      <c r="V39" s="334"/>
      <c r="W39" s="334"/>
      <c r="X39" s="334"/>
      <c r="Y39" s="334"/>
      <c r="Z39" s="334"/>
      <c r="AA39" s="334"/>
      <c r="AB39" s="334"/>
      <c r="AC39" s="334"/>
      <c r="AD39" s="334"/>
      <c r="AE39" s="334"/>
      <c r="AF39" s="334"/>
      <c r="AG39" s="334"/>
      <c r="AH39" s="334"/>
      <c r="AI39" s="334"/>
      <c r="AJ39" s="334"/>
      <c r="AK39" s="334"/>
      <c r="AL39" s="334"/>
      <c r="AM39" s="334"/>
      <c r="AN39" s="334"/>
      <c r="AO39" s="334"/>
      <c r="AP39" s="334"/>
      <c r="AQ39" s="334"/>
      <c r="AR39" s="334"/>
      <c r="AS39" s="334"/>
      <c r="AT39" s="334"/>
      <c r="AU39" s="334"/>
      <c r="AV39" s="334"/>
      <c r="AW39" s="334"/>
      <c r="AX39" s="334"/>
      <c r="AY39" s="334"/>
      <c r="AZ39" s="334"/>
      <c r="BA39" s="334"/>
      <c r="BB39" s="334"/>
      <c r="BC39" s="334"/>
      <c r="BD39" s="334"/>
      <c r="BE39" s="334"/>
      <c r="BF39" s="334"/>
      <c r="BG39" s="334"/>
      <c r="BH39" s="334"/>
      <c r="BI39" s="334"/>
      <c r="BJ39" s="334"/>
      <c r="BK39" s="334"/>
      <c r="BL39" s="292"/>
      <c r="BM39" s="292"/>
      <c r="BN39" s="292"/>
      <c r="BO39" s="292"/>
      <c r="BP39" s="292"/>
      <c r="BQ39" s="292"/>
      <c r="BR39" s="292"/>
      <c r="IR39" s="316"/>
    </row>
    <row r="40" spans="1:252">
      <c r="B40" s="316" t="str">
        <f>'Balance Sheet'!E25</f>
        <v>Retained Earnings</v>
      </c>
      <c r="C40" s="292"/>
      <c r="D40" s="334">
        <f ca="1">'Balance Sheet'!J25</f>
        <v>-67000</v>
      </c>
      <c r="E40" s="334">
        <f ca="1">'Balance Sheet'!K25</f>
        <v>-141291.66666666669</v>
      </c>
      <c r="F40" s="334">
        <f ca="1">'Balance Sheet'!L25</f>
        <v>-131000.00000000001</v>
      </c>
      <c r="G40" s="334">
        <f ca="1">'Balance Sheet'!M25</f>
        <v>-86316.190184678868</v>
      </c>
      <c r="H40" s="334">
        <f ca="1">'Balance Sheet'!N25</f>
        <v>-90632.380369357721</v>
      </c>
      <c r="I40" s="334">
        <f ca="1">'Balance Sheet'!O25</f>
        <v>-89115.237220703246</v>
      </c>
      <c r="J40" s="334">
        <f ca="1">'Balance Sheet'!P25</f>
        <v>64773.415582829301</v>
      </c>
      <c r="K40" s="334">
        <f ca="1">'Balance Sheet'!Q25</f>
        <v>217914.02094222119</v>
      </c>
      <c r="L40" s="334">
        <f ca="1">'Balance Sheet'!R25</f>
        <v>441637.95963494637</v>
      </c>
      <c r="M40" s="334">
        <f ca="1">'Balance Sheet'!S25</f>
        <v>635685.01133885968</v>
      </c>
      <c r="N40" s="334">
        <f ca="1">'Balance Sheet'!T25</f>
        <v>1109732.0630427729</v>
      </c>
      <c r="O40" s="334">
        <f ca="1">'Balance Sheet'!U25</f>
        <v>1569195.781413353</v>
      </c>
      <c r="P40" s="334">
        <f ca="1">'Balance Sheet'!V25</f>
        <v>2283580.9815609911</v>
      </c>
      <c r="Q40" s="334">
        <f ca="1">'Balance Sheet'!W25</f>
        <v>3219707.1906553181</v>
      </c>
      <c r="R40" s="334">
        <f ca="1">'Balance Sheet'!X25</f>
        <v>4185003.7286681943</v>
      </c>
      <c r="S40" s="334">
        <f ca="1">'Balance Sheet'!Y25</f>
        <v>5413841.7299621366</v>
      </c>
      <c r="T40" s="334">
        <f ca="1">'Balance Sheet'!Z25</f>
        <v>6634134.8560638577</v>
      </c>
      <c r="U40" s="334">
        <f ca="1">'Balance Sheet'!AA25</f>
        <v>7848384.8658541311</v>
      </c>
      <c r="V40" s="334">
        <f ca="1">'Balance Sheet'!AB25</f>
        <v>9040668.2836797033</v>
      </c>
      <c r="W40" s="334">
        <f ca="1">'Balance Sheet'!AC25</f>
        <v>10225275.580356568</v>
      </c>
      <c r="X40" s="334">
        <f ca="1">'Balance Sheet'!AD25</f>
        <v>11379441.724905508</v>
      </c>
      <c r="Y40" s="334">
        <f ca="1">'Balance Sheet'!AE25</f>
        <v>12656244.78818888</v>
      </c>
      <c r="Z40" s="334">
        <f ca="1">'Balance Sheet'!AF25</f>
        <v>14047956.385039691</v>
      </c>
      <c r="AA40" s="334">
        <f ca="1">'Balance Sheet'!AG25</f>
        <v>15546226.417618219</v>
      </c>
      <c r="AB40" s="334">
        <f ca="1">'Balance Sheet'!AH25</f>
        <v>17238429.71334539</v>
      </c>
      <c r="AC40" s="334">
        <f ca="1">'Balance Sheet'!AI25</f>
        <v>19015632.027212001</v>
      </c>
      <c r="AD40" s="334">
        <f ca="1">'Balance Sheet'!AJ25</f>
        <v>21009282.998669647</v>
      </c>
      <c r="AE40" s="334">
        <f ca="1">'Balance Sheet'!AK25</f>
        <v>23084752.841449108</v>
      </c>
      <c r="AF40" s="334">
        <f ca="1">'Balance Sheet'!AL25</f>
        <v>25257444.965992115</v>
      </c>
      <c r="AG40" s="334">
        <f ca="1">'Balance Sheet'!AM25</f>
        <v>27596550.857912228</v>
      </c>
      <c r="AH40" s="334">
        <f ca="1">'Balance Sheet'!AN25</f>
        <v>30085299.134254608</v>
      </c>
      <c r="AI40" s="334">
        <f ca="1">'Balance Sheet'!AO25</f>
        <v>32613423.501632906</v>
      </c>
      <c r="AJ40" s="334">
        <f ca="1">'Balance Sheet'!AP25</f>
        <v>35389832.231422022</v>
      </c>
      <c r="AK40" s="334">
        <f ca="1">'Balance Sheet'!AQ25</f>
        <v>38250146.0315632</v>
      </c>
      <c r="AL40" s="334">
        <f ca="1">'Balance Sheet'!AR25</f>
        <v>41347568.565505922</v>
      </c>
      <c r="AM40" s="334">
        <f ca="1">'Balance Sheet'!AS25</f>
        <v>44665399.637570739</v>
      </c>
      <c r="AN40" s="334">
        <f ca="1">'Balance Sheet'!AT25</f>
        <v>48330761.381771237</v>
      </c>
      <c r="AO40" s="334">
        <f ca="1">'Balance Sheet'!AU25</f>
        <v>52185676.28537976</v>
      </c>
      <c r="AP40" s="334">
        <f ca="1">'Balance Sheet'!AV25</f>
        <v>56358175.606421523</v>
      </c>
      <c r="AQ40" s="334">
        <f ca="1">'Balance Sheet'!AW25</f>
        <v>60974932.06467171</v>
      </c>
      <c r="AR40" s="334">
        <f ca="1">'Balance Sheet'!AX25</f>
        <v>65883158.041314267</v>
      </c>
      <c r="AS40" s="334">
        <f ca="1">'Balance Sheet'!AY25</f>
        <v>71201328.556568488</v>
      </c>
      <c r="AT40" s="334">
        <f ca="1">'Balance Sheet'!AZ25</f>
        <v>76913701.384116963</v>
      </c>
      <c r="AU40" s="334">
        <f ca="1">'Balance Sheet'!BA25</f>
        <v>83012254.393196777</v>
      </c>
      <c r="AV40" s="334">
        <f ca="1">'Balance Sheet'!BB25</f>
        <v>89465477.893249333</v>
      </c>
      <c r="AW40" s="334">
        <f ca="1">'Balance Sheet'!BC25</f>
        <v>96402050.642972469</v>
      </c>
      <c r="AX40" s="334">
        <f ca="1">'Balance Sheet'!BD25</f>
        <v>103789070.17259805</v>
      </c>
      <c r="AY40" s="334">
        <f ca="1">'Balance Sheet'!BE25</f>
        <v>111753699.20434938</v>
      </c>
      <c r="AZ40" s="334">
        <f ca="1">'Balance Sheet'!BF25</f>
        <v>120241447.85933785</v>
      </c>
      <c r="BA40" s="334">
        <f ca="1">'Balance Sheet'!BG25</f>
        <v>129231706.99980903</v>
      </c>
      <c r="BB40" s="334">
        <f ca="1">'Balance Sheet'!BH25</f>
        <v>138840539.14181334</v>
      </c>
      <c r="BC40" s="334">
        <f ca="1">'Balance Sheet'!BI25</f>
        <v>149027288.4580926</v>
      </c>
      <c r="BD40" s="334">
        <f ca="1">'Balance Sheet'!BJ25</f>
        <v>159862689.31115657</v>
      </c>
      <c r="BE40" s="334">
        <f ca="1">'Balance Sheet'!BK25</f>
        <v>171313608.40811056</v>
      </c>
      <c r="BF40" s="334">
        <f ca="1">'Balance Sheet'!BL25</f>
        <v>183489157.50317007</v>
      </c>
      <c r="BG40" s="334">
        <f ca="1">'Balance Sheet'!BM25</f>
        <v>196293129.46129227</v>
      </c>
      <c r="BH40" s="334">
        <f ca="1">'Balance Sheet'!BN25</f>
        <v>209841588.23469326</v>
      </c>
      <c r="BI40" s="334">
        <f ca="1">'Balance Sheet'!BO25</f>
        <v>224223343.37584937</v>
      </c>
      <c r="BJ40" s="334">
        <f ca="1">'Balance Sheet'!BP25</f>
        <v>239408429.57681036</v>
      </c>
      <c r="BK40" s="334">
        <f ca="1">'Balance Sheet'!BQ25</f>
        <v>255482005.61535621</v>
      </c>
      <c r="BL40" s="292"/>
      <c r="BM40" s="292"/>
      <c r="BN40" s="292"/>
      <c r="BO40" s="292"/>
      <c r="BP40" s="292"/>
      <c r="BQ40" s="292"/>
      <c r="BR40" s="292"/>
      <c r="IR40" s="316"/>
    </row>
    <row r="41" spans="1:252">
      <c r="B41" s="316" t="str">
        <f>'Balance Sheet'!E26</f>
        <v>Share Capital</v>
      </c>
      <c r="C41" s="292"/>
      <c r="D41" s="334">
        <f>'Balance Sheet'!J26</f>
        <v>0</v>
      </c>
      <c r="E41" s="334">
        <f>'Balance Sheet'!K26</f>
        <v>0</v>
      </c>
      <c r="F41" s="334">
        <f>'Balance Sheet'!L26</f>
        <v>0</v>
      </c>
      <c r="G41" s="334">
        <f>'Balance Sheet'!M26</f>
        <v>0</v>
      </c>
      <c r="H41" s="334">
        <f>'Balance Sheet'!N26</f>
        <v>0</v>
      </c>
      <c r="I41" s="334">
        <f>'Balance Sheet'!O26</f>
        <v>0</v>
      </c>
      <c r="J41" s="334">
        <f>'Balance Sheet'!P26</f>
        <v>0</v>
      </c>
      <c r="K41" s="334">
        <f>'Balance Sheet'!Q26</f>
        <v>0</v>
      </c>
      <c r="L41" s="334">
        <f>'Balance Sheet'!R26</f>
        <v>0</v>
      </c>
      <c r="M41" s="334">
        <f>'Balance Sheet'!S26</f>
        <v>0</v>
      </c>
      <c r="N41" s="334">
        <f>'Balance Sheet'!T26</f>
        <v>0</v>
      </c>
      <c r="O41" s="334">
        <f>'Balance Sheet'!U26</f>
        <v>0</v>
      </c>
      <c r="P41" s="334">
        <f>'Balance Sheet'!V26</f>
        <v>0</v>
      </c>
      <c r="Q41" s="334">
        <f>'Balance Sheet'!W26</f>
        <v>0</v>
      </c>
      <c r="R41" s="334">
        <f>'Balance Sheet'!X26</f>
        <v>0</v>
      </c>
      <c r="S41" s="334">
        <f>'Balance Sheet'!Y26</f>
        <v>0</v>
      </c>
      <c r="T41" s="334">
        <f>'Balance Sheet'!Z26</f>
        <v>0</v>
      </c>
      <c r="U41" s="334">
        <f>'Balance Sheet'!AA26</f>
        <v>0</v>
      </c>
      <c r="V41" s="334">
        <f>'Balance Sheet'!AB26</f>
        <v>0</v>
      </c>
      <c r="W41" s="334">
        <f>'Balance Sheet'!AC26</f>
        <v>0</v>
      </c>
      <c r="X41" s="334">
        <f>'Balance Sheet'!AD26</f>
        <v>0</v>
      </c>
      <c r="Y41" s="334">
        <f>'Balance Sheet'!AE26</f>
        <v>0</v>
      </c>
      <c r="Z41" s="334">
        <f>'Balance Sheet'!AF26</f>
        <v>0</v>
      </c>
      <c r="AA41" s="334">
        <f>'Balance Sheet'!AG26</f>
        <v>0</v>
      </c>
      <c r="AB41" s="334">
        <f>'Balance Sheet'!AH26</f>
        <v>0</v>
      </c>
      <c r="AC41" s="334">
        <f>'Balance Sheet'!AI26</f>
        <v>0</v>
      </c>
      <c r="AD41" s="334">
        <f>'Balance Sheet'!AJ26</f>
        <v>0</v>
      </c>
      <c r="AE41" s="334">
        <f>'Balance Sheet'!AK26</f>
        <v>0</v>
      </c>
      <c r="AF41" s="334">
        <f>'Balance Sheet'!AL26</f>
        <v>0</v>
      </c>
      <c r="AG41" s="334">
        <f>'Balance Sheet'!AM26</f>
        <v>0</v>
      </c>
      <c r="AH41" s="334">
        <f>'Balance Sheet'!AN26</f>
        <v>0</v>
      </c>
      <c r="AI41" s="334">
        <f>'Balance Sheet'!AO26</f>
        <v>0</v>
      </c>
      <c r="AJ41" s="334">
        <f>'Balance Sheet'!AP26</f>
        <v>0</v>
      </c>
      <c r="AK41" s="334">
        <f>'Balance Sheet'!AQ26</f>
        <v>0</v>
      </c>
      <c r="AL41" s="334">
        <f>'Balance Sheet'!AR26</f>
        <v>0</v>
      </c>
      <c r="AM41" s="334">
        <f>'Balance Sheet'!AS26</f>
        <v>0</v>
      </c>
      <c r="AN41" s="334">
        <f>'Balance Sheet'!AT26</f>
        <v>0</v>
      </c>
      <c r="AO41" s="334">
        <f>'Balance Sheet'!AU26</f>
        <v>0</v>
      </c>
      <c r="AP41" s="334">
        <f>'Balance Sheet'!AV26</f>
        <v>0</v>
      </c>
      <c r="AQ41" s="334">
        <f>'Balance Sheet'!AW26</f>
        <v>0</v>
      </c>
      <c r="AR41" s="334">
        <f>'Balance Sheet'!AX26</f>
        <v>0</v>
      </c>
      <c r="AS41" s="334">
        <f>'Balance Sheet'!AY26</f>
        <v>0</v>
      </c>
      <c r="AT41" s="334">
        <f>'Balance Sheet'!AZ26</f>
        <v>0</v>
      </c>
      <c r="AU41" s="334">
        <f>'Balance Sheet'!BA26</f>
        <v>0</v>
      </c>
      <c r="AV41" s="334">
        <f>'Balance Sheet'!BB26</f>
        <v>0</v>
      </c>
      <c r="AW41" s="334">
        <f>'Balance Sheet'!BC26</f>
        <v>0</v>
      </c>
      <c r="AX41" s="334">
        <f>'Balance Sheet'!BD26</f>
        <v>0</v>
      </c>
      <c r="AY41" s="334">
        <f>'Balance Sheet'!BE26</f>
        <v>0</v>
      </c>
      <c r="AZ41" s="334">
        <f>'Balance Sheet'!BF26</f>
        <v>0</v>
      </c>
      <c r="BA41" s="334">
        <f>'Balance Sheet'!BG26</f>
        <v>0</v>
      </c>
      <c r="BB41" s="334">
        <f>'Balance Sheet'!BH26</f>
        <v>0</v>
      </c>
      <c r="BC41" s="334">
        <f>'Balance Sheet'!BI26</f>
        <v>0</v>
      </c>
      <c r="BD41" s="334">
        <f>'Balance Sheet'!BJ26</f>
        <v>0</v>
      </c>
      <c r="BE41" s="334">
        <f>'Balance Sheet'!BK26</f>
        <v>0</v>
      </c>
      <c r="BF41" s="334">
        <f>'Balance Sheet'!BL26</f>
        <v>0</v>
      </c>
      <c r="BG41" s="334">
        <f>'Balance Sheet'!BM26</f>
        <v>0</v>
      </c>
      <c r="BH41" s="334">
        <f>'Balance Sheet'!BN26</f>
        <v>0</v>
      </c>
      <c r="BI41" s="334">
        <f>'Balance Sheet'!BO26</f>
        <v>0</v>
      </c>
      <c r="BJ41" s="334">
        <f>'Balance Sheet'!BP26</f>
        <v>0</v>
      </c>
      <c r="BK41" s="334">
        <f>'Balance Sheet'!BQ26</f>
        <v>0</v>
      </c>
      <c r="BL41" s="292"/>
      <c r="BM41" s="292"/>
      <c r="BN41" s="292"/>
      <c r="BO41" s="292"/>
      <c r="BP41" s="292"/>
      <c r="BQ41" s="292"/>
      <c r="BR41" s="292"/>
      <c r="IR41" s="316"/>
    </row>
    <row r="42" spans="1:252">
      <c r="B42" s="327" t="str">
        <f>'Balance Sheet'!E27</f>
        <v>Shareholder Equity</v>
      </c>
      <c r="C42" s="323"/>
      <c r="D42" s="335">
        <f ca="1">'Balance Sheet'!J27</f>
        <v>-67000</v>
      </c>
      <c r="E42" s="335">
        <f ca="1">'Balance Sheet'!K27</f>
        <v>-141291.66666666669</v>
      </c>
      <c r="F42" s="335">
        <f ca="1">'Balance Sheet'!L27</f>
        <v>-131000.00000000001</v>
      </c>
      <c r="G42" s="335">
        <f ca="1">'Balance Sheet'!M27</f>
        <v>-86316.190184678868</v>
      </c>
      <c r="H42" s="335">
        <f ca="1">'Balance Sheet'!N27</f>
        <v>-90632.380369357721</v>
      </c>
      <c r="I42" s="335">
        <f ca="1">'Balance Sheet'!O27</f>
        <v>-89115.237220703246</v>
      </c>
      <c r="J42" s="335">
        <f ca="1">'Balance Sheet'!P27</f>
        <v>64773.415582829301</v>
      </c>
      <c r="K42" s="335">
        <f ca="1">'Balance Sheet'!Q27</f>
        <v>217914.02094222119</v>
      </c>
      <c r="L42" s="335">
        <f ca="1">'Balance Sheet'!R27</f>
        <v>441637.95963494637</v>
      </c>
      <c r="M42" s="335">
        <f ca="1">'Balance Sheet'!S27</f>
        <v>635685.01133885968</v>
      </c>
      <c r="N42" s="335">
        <f ca="1">'Balance Sheet'!T27</f>
        <v>1109732.0630427729</v>
      </c>
      <c r="O42" s="335">
        <f ca="1">'Balance Sheet'!U27</f>
        <v>1569195.781413353</v>
      </c>
      <c r="P42" s="335">
        <f ca="1">'Balance Sheet'!V27</f>
        <v>2283580.9815609911</v>
      </c>
      <c r="Q42" s="335">
        <f ca="1">'Balance Sheet'!W27</f>
        <v>3219707.1906553181</v>
      </c>
      <c r="R42" s="335">
        <f ca="1">'Balance Sheet'!X27</f>
        <v>4185003.7286681943</v>
      </c>
      <c r="S42" s="335">
        <f ca="1">'Balance Sheet'!Y27</f>
        <v>5413841.7299621366</v>
      </c>
      <c r="T42" s="335">
        <f ca="1">'Balance Sheet'!Z27</f>
        <v>6634134.8560638577</v>
      </c>
      <c r="U42" s="335">
        <f ca="1">'Balance Sheet'!AA27</f>
        <v>7848384.8658541311</v>
      </c>
      <c r="V42" s="335">
        <f ca="1">'Balance Sheet'!AB27</f>
        <v>9040668.2836797033</v>
      </c>
      <c r="W42" s="335">
        <f ca="1">'Balance Sheet'!AC27</f>
        <v>10225275.580356568</v>
      </c>
      <c r="X42" s="335">
        <f ca="1">'Balance Sheet'!AD27</f>
        <v>11379441.724905508</v>
      </c>
      <c r="Y42" s="335">
        <f ca="1">'Balance Sheet'!AE27</f>
        <v>12656244.78818888</v>
      </c>
      <c r="Z42" s="335">
        <f ca="1">'Balance Sheet'!AF27</f>
        <v>14047956.385039691</v>
      </c>
      <c r="AA42" s="335">
        <f ca="1">'Balance Sheet'!AG27</f>
        <v>15546226.417618219</v>
      </c>
      <c r="AB42" s="335">
        <f ca="1">'Balance Sheet'!AH27</f>
        <v>17238429.71334539</v>
      </c>
      <c r="AC42" s="335">
        <f ca="1">'Balance Sheet'!AI27</f>
        <v>19015632.027212001</v>
      </c>
      <c r="AD42" s="335">
        <f ca="1">'Balance Sheet'!AJ27</f>
        <v>21009282.998669647</v>
      </c>
      <c r="AE42" s="335">
        <f ca="1">'Balance Sheet'!AK27</f>
        <v>23084752.841449108</v>
      </c>
      <c r="AF42" s="335">
        <f ca="1">'Balance Sheet'!AL27</f>
        <v>25257444.965992115</v>
      </c>
      <c r="AG42" s="335">
        <f ca="1">'Balance Sheet'!AM27</f>
        <v>27596550.857912228</v>
      </c>
      <c r="AH42" s="335">
        <f ca="1">'Balance Sheet'!AN27</f>
        <v>30085299.134254608</v>
      </c>
      <c r="AI42" s="335">
        <f ca="1">'Balance Sheet'!AO27</f>
        <v>32613423.501632906</v>
      </c>
      <c r="AJ42" s="335">
        <f ca="1">'Balance Sheet'!AP27</f>
        <v>35389832.231422022</v>
      </c>
      <c r="AK42" s="335">
        <f ca="1">'Balance Sheet'!AQ27</f>
        <v>38250146.0315632</v>
      </c>
      <c r="AL42" s="335">
        <f ca="1">'Balance Sheet'!AR27</f>
        <v>41347568.565505922</v>
      </c>
      <c r="AM42" s="335">
        <f ca="1">'Balance Sheet'!AS27</f>
        <v>44665399.637570739</v>
      </c>
      <c r="AN42" s="335">
        <f ca="1">'Balance Sheet'!AT27</f>
        <v>48330761.381771237</v>
      </c>
      <c r="AO42" s="335">
        <f ca="1">'Balance Sheet'!AU27</f>
        <v>52185676.28537976</v>
      </c>
      <c r="AP42" s="335">
        <f ca="1">'Balance Sheet'!AV27</f>
        <v>56358175.606421523</v>
      </c>
      <c r="AQ42" s="335">
        <f ca="1">'Balance Sheet'!AW27</f>
        <v>60974932.06467171</v>
      </c>
      <c r="AR42" s="335">
        <f ca="1">'Balance Sheet'!AX27</f>
        <v>65883158.041314267</v>
      </c>
      <c r="AS42" s="335">
        <f ca="1">'Balance Sheet'!AY27</f>
        <v>71201328.556568488</v>
      </c>
      <c r="AT42" s="335">
        <f ca="1">'Balance Sheet'!AZ27</f>
        <v>76913701.384116963</v>
      </c>
      <c r="AU42" s="335">
        <f ca="1">'Balance Sheet'!BA27</f>
        <v>83012254.393196777</v>
      </c>
      <c r="AV42" s="335">
        <f ca="1">'Balance Sheet'!BB27</f>
        <v>89465477.893249333</v>
      </c>
      <c r="AW42" s="335">
        <f ca="1">'Balance Sheet'!BC27</f>
        <v>96402050.642972469</v>
      </c>
      <c r="AX42" s="335">
        <f ca="1">'Balance Sheet'!BD27</f>
        <v>103789070.17259805</v>
      </c>
      <c r="AY42" s="335">
        <f ca="1">'Balance Sheet'!BE27</f>
        <v>111753699.20434938</v>
      </c>
      <c r="AZ42" s="335">
        <f ca="1">'Balance Sheet'!BF27</f>
        <v>120241447.85933785</v>
      </c>
      <c r="BA42" s="335">
        <f ca="1">'Balance Sheet'!BG27</f>
        <v>129231706.99980903</v>
      </c>
      <c r="BB42" s="335">
        <f ca="1">'Balance Sheet'!BH27</f>
        <v>138840539.14181334</v>
      </c>
      <c r="BC42" s="335">
        <f ca="1">'Balance Sheet'!BI27</f>
        <v>149027288.4580926</v>
      </c>
      <c r="BD42" s="335">
        <f ca="1">'Balance Sheet'!BJ27</f>
        <v>159862689.31115657</v>
      </c>
      <c r="BE42" s="335">
        <f ca="1">'Balance Sheet'!BK27</f>
        <v>171313608.40811056</v>
      </c>
      <c r="BF42" s="335">
        <f ca="1">'Balance Sheet'!BL27</f>
        <v>183489157.50317007</v>
      </c>
      <c r="BG42" s="335">
        <f ca="1">'Balance Sheet'!BM27</f>
        <v>196293129.46129227</v>
      </c>
      <c r="BH42" s="335">
        <f ca="1">'Balance Sheet'!BN27</f>
        <v>209841588.23469326</v>
      </c>
      <c r="BI42" s="335">
        <f ca="1">'Balance Sheet'!BO27</f>
        <v>224223343.37584937</v>
      </c>
      <c r="BJ42" s="335">
        <f ca="1">'Balance Sheet'!BP27</f>
        <v>239408429.57681036</v>
      </c>
      <c r="BK42" s="335">
        <f ca="1">'Balance Sheet'!BQ27</f>
        <v>255482005.61535621</v>
      </c>
      <c r="BL42" s="292"/>
      <c r="BM42" s="292"/>
      <c r="BN42" s="292"/>
      <c r="BO42" s="292"/>
      <c r="BP42" s="292"/>
      <c r="BQ42" s="292"/>
      <c r="BR42" s="292"/>
      <c r="IR42" s="316"/>
    </row>
    <row r="43" spans="1:252">
      <c r="C43" s="292"/>
      <c r="D43" s="334"/>
      <c r="E43" s="334"/>
      <c r="F43" s="334"/>
      <c r="G43" s="334"/>
      <c r="H43" s="334"/>
      <c r="I43" s="334"/>
      <c r="J43" s="334"/>
      <c r="K43" s="334"/>
      <c r="L43" s="334"/>
      <c r="M43" s="334"/>
      <c r="N43" s="334"/>
      <c r="O43" s="334"/>
      <c r="P43" s="334"/>
      <c r="Q43" s="334"/>
      <c r="R43" s="334"/>
      <c r="S43" s="334"/>
      <c r="T43" s="334"/>
      <c r="U43" s="334"/>
      <c r="V43" s="334"/>
      <c r="W43" s="334"/>
      <c r="X43" s="334"/>
      <c r="Y43" s="334"/>
      <c r="Z43" s="334"/>
      <c r="AA43" s="334"/>
      <c r="AB43" s="334"/>
      <c r="AC43" s="334"/>
      <c r="AD43" s="334"/>
      <c r="AE43" s="334"/>
      <c r="AF43" s="334"/>
      <c r="AG43" s="334"/>
      <c r="AH43" s="334"/>
      <c r="AI43" s="334"/>
      <c r="AJ43" s="334"/>
      <c r="AK43" s="334"/>
      <c r="AL43" s="334"/>
      <c r="AM43" s="334"/>
      <c r="AN43" s="334"/>
      <c r="AO43" s="334"/>
      <c r="AP43" s="334"/>
      <c r="AQ43" s="334"/>
      <c r="AR43" s="334"/>
      <c r="AS43" s="334"/>
      <c r="AT43" s="334"/>
      <c r="AU43" s="334"/>
      <c r="AV43" s="334"/>
      <c r="AW43" s="334"/>
      <c r="AX43" s="334"/>
      <c r="AY43" s="334"/>
      <c r="AZ43" s="334"/>
      <c r="BA43" s="334"/>
      <c r="BB43" s="334"/>
      <c r="BC43" s="334"/>
      <c r="BD43" s="334"/>
      <c r="BE43" s="334"/>
      <c r="BF43" s="334"/>
      <c r="BG43" s="334"/>
      <c r="BH43" s="334"/>
      <c r="BI43" s="334"/>
      <c r="BJ43" s="334"/>
      <c r="BK43" s="334"/>
      <c r="BL43" s="292"/>
      <c r="BM43" s="292"/>
      <c r="BN43" s="292"/>
      <c r="BO43" s="292"/>
      <c r="BP43" s="292"/>
      <c r="BQ43" s="292"/>
      <c r="BR43" s="292"/>
      <c r="IR43" s="316"/>
    </row>
    <row r="44" spans="1:252">
      <c r="A44" s="329"/>
      <c r="B44" s="329"/>
      <c r="C44" s="292"/>
      <c r="D44" s="329"/>
      <c r="E44" s="329"/>
      <c r="F44" s="329"/>
      <c r="G44" s="329"/>
      <c r="H44" s="329"/>
      <c r="I44" s="329"/>
      <c r="J44" s="329"/>
      <c r="K44" s="329"/>
      <c r="L44" s="329"/>
      <c r="M44" s="329"/>
      <c r="N44" s="329"/>
      <c r="O44" s="329"/>
      <c r="P44" s="329"/>
      <c r="Q44" s="329"/>
      <c r="R44" s="329"/>
      <c r="S44" s="329"/>
      <c r="T44" s="329"/>
      <c r="U44" s="329"/>
      <c r="V44" s="329"/>
      <c r="W44" s="329"/>
      <c r="X44" s="329"/>
      <c r="Y44" s="329"/>
      <c r="Z44" s="329"/>
      <c r="AA44" s="329"/>
      <c r="AB44" s="329"/>
      <c r="AC44" s="329"/>
      <c r="AD44" s="329"/>
      <c r="AE44" s="329"/>
      <c r="AF44" s="329"/>
      <c r="AG44" s="329"/>
      <c r="AH44" s="329"/>
      <c r="AI44" s="329"/>
      <c r="AJ44" s="329"/>
      <c r="AK44" s="329"/>
      <c r="AL44" s="329"/>
      <c r="AM44" s="329"/>
      <c r="AN44" s="329"/>
      <c r="AO44" s="329"/>
      <c r="AP44" s="329"/>
      <c r="AQ44" s="329"/>
      <c r="AR44" s="329"/>
      <c r="AS44" s="329"/>
      <c r="AT44" s="329"/>
      <c r="AU44" s="329"/>
      <c r="AV44" s="329"/>
      <c r="AW44" s="329"/>
      <c r="AX44" s="329"/>
      <c r="AY44" s="329"/>
      <c r="AZ44" s="329"/>
      <c r="BA44" s="329"/>
      <c r="BB44" s="329"/>
      <c r="BC44" s="329"/>
      <c r="BD44" s="329"/>
      <c r="BE44" s="329"/>
      <c r="BF44" s="329"/>
      <c r="BG44" s="329"/>
      <c r="BH44" s="329"/>
      <c r="BI44" s="329"/>
      <c r="BJ44" s="329"/>
      <c r="BK44" s="329"/>
      <c r="BL44" s="329"/>
      <c r="BM44" s="329"/>
      <c r="BN44" s="329"/>
      <c r="BO44" s="329"/>
      <c r="BP44" s="329"/>
      <c r="BQ44" s="329"/>
      <c r="BR44" s="329"/>
      <c r="BS44" s="329"/>
      <c r="BT44" s="329"/>
      <c r="BU44" s="329"/>
      <c r="BV44" s="329"/>
      <c r="BW44" s="329"/>
      <c r="BX44" s="329"/>
      <c r="BY44" s="329"/>
      <c r="BZ44" s="329"/>
      <c r="CA44" s="329"/>
      <c r="CB44" s="329"/>
      <c r="CC44" s="329"/>
      <c r="CD44" s="329"/>
      <c r="CE44" s="329"/>
      <c r="CF44" s="329"/>
      <c r="CG44" s="329"/>
      <c r="CH44" s="329"/>
      <c r="CI44" s="329"/>
      <c r="CJ44" s="329"/>
      <c r="CK44" s="329"/>
      <c r="CL44" s="329"/>
      <c r="CM44" s="329"/>
      <c r="CN44" s="329"/>
      <c r="CO44" s="329"/>
      <c r="CP44" s="329"/>
      <c r="CQ44" s="329"/>
      <c r="CR44" s="329"/>
      <c r="CS44" s="329"/>
      <c r="CT44" s="329"/>
      <c r="CU44" s="329"/>
      <c r="CV44" s="329"/>
      <c r="CW44" s="329"/>
      <c r="CX44" s="329"/>
      <c r="CY44" s="329"/>
      <c r="CZ44" s="329"/>
      <c r="DA44" s="329"/>
      <c r="DB44" s="329"/>
      <c r="DC44" s="329"/>
      <c r="DD44" s="329"/>
      <c r="DE44" s="329"/>
      <c r="DF44" s="329"/>
      <c r="DG44" s="329"/>
      <c r="DH44" s="329"/>
      <c r="DI44" s="329"/>
      <c r="DJ44" s="329"/>
      <c r="DK44" s="329"/>
      <c r="DL44" s="329"/>
      <c r="DM44" s="329"/>
      <c r="DN44" s="329"/>
      <c r="DO44" s="329"/>
      <c r="DP44" s="329"/>
      <c r="DQ44" s="329"/>
      <c r="DR44" s="329"/>
      <c r="DS44" s="329"/>
      <c r="DT44" s="329"/>
      <c r="DU44" s="329"/>
      <c r="DV44" s="329"/>
      <c r="DW44" s="329"/>
      <c r="DX44" s="329"/>
      <c r="DY44" s="329"/>
      <c r="DZ44" s="329"/>
      <c r="EA44" s="329"/>
      <c r="EB44" s="329"/>
      <c r="EC44" s="329"/>
      <c r="ED44" s="329"/>
      <c r="EE44" s="329"/>
      <c r="EF44" s="329"/>
      <c r="EG44" s="329"/>
      <c r="EH44" s="329"/>
      <c r="EI44" s="329"/>
      <c r="EJ44" s="329"/>
      <c r="EK44" s="329"/>
      <c r="EL44" s="329"/>
      <c r="EM44" s="329"/>
      <c r="EN44" s="329"/>
      <c r="EO44" s="329"/>
      <c r="EP44" s="329"/>
      <c r="EQ44" s="329"/>
      <c r="ER44" s="329"/>
      <c r="ES44" s="329"/>
      <c r="ET44" s="329"/>
      <c r="EU44" s="329"/>
      <c r="EV44" s="329"/>
      <c r="EW44" s="329"/>
      <c r="EX44" s="329"/>
      <c r="EY44" s="329"/>
      <c r="EZ44" s="329"/>
      <c r="FA44" s="329"/>
      <c r="FB44" s="329"/>
      <c r="FC44" s="329"/>
      <c r="FD44" s="329"/>
      <c r="FE44" s="329"/>
      <c r="FF44" s="329"/>
      <c r="FG44" s="329"/>
      <c r="FH44" s="329"/>
      <c r="FI44" s="329"/>
      <c r="FJ44" s="329"/>
      <c r="FK44" s="329"/>
      <c r="FL44" s="329"/>
      <c r="FM44" s="329"/>
      <c r="FN44" s="329"/>
      <c r="FO44" s="329"/>
      <c r="FP44" s="329"/>
      <c r="FQ44" s="329"/>
      <c r="FR44" s="329"/>
      <c r="FS44" s="329"/>
      <c r="FT44" s="329"/>
      <c r="FU44" s="329"/>
      <c r="FV44" s="329"/>
      <c r="FW44" s="329"/>
      <c r="FX44" s="329"/>
      <c r="FY44" s="329"/>
      <c r="FZ44" s="329"/>
      <c r="GA44" s="329"/>
      <c r="GB44" s="329"/>
      <c r="GC44" s="329"/>
      <c r="GD44" s="329"/>
      <c r="GE44" s="329"/>
      <c r="GF44" s="329"/>
      <c r="GG44" s="329"/>
      <c r="GH44" s="329"/>
      <c r="GI44" s="329"/>
      <c r="GJ44" s="329"/>
      <c r="GK44" s="329"/>
      <c r="GL44" s="329"/>
      <c r="GM44" s="329"/>
      <c r="GN44" s="329"/>
      <c r="GO44" s="329"/>
      <c r="GP44" s="329"/>
      <c r="GQ44" s="329"/>
      <c r="GR44" s="329"/>
      <c r="GS44" s="329"/>
      <c r="GT44" s="329"/>
      <c r="GU44" s="329"/>
      <c r="GV44" s="329"/>
      <c r="GW44" s="329"/>
      <c r="GX44" s="329"/>
      <c r="GY44" s="329"/>
      <c r="GZ44" s="329"/>
      <c r="HA44" s="329"/>
      <c r="HB44" s="329"/>
      <c r="HC44" s="329"/>
      <c r="HD44" s="329"/>
      <c r="HE44" s="329"/>
      <c r="HF44" s="329"/>
      <c r="HG44" s="329"/>
      <c r="HH44" s="329"/>
      <c r="HI44" s="329"/>
      <c r="HJ44" s="329"/>
      <c r="HK44" s="329"/>
      <c r="HL44" s="329"/>
      <c r="HM44" s="329"/>
      <c r="HN44" s="329"/>
      <c r="HO44" s="329"/>
      <c r="HP44" s="329"/>
      <c r="HQ44" s="329"/>
      <c r="HR44" s="329"/>
      <c r="HS44" s="329"/>
      <c r="HT44" s="329"/>
      <c r="HU44" s="329"/>
      <c r="HV44" s="329"/>
      <c r="HW44" s="329"/>
      <c r="HX44" s="329"/>
      <c r="HY44" s="329"/>
      <c r="HZ44" s="329"/>
      <c r="IA44" s="329"/>
      <c r="IB44" s="329"/>
      <c r="IC44" s="329"/>
      <c r="ID44" s="329"/>
      <c r="IE44" s="329"/>
      <c r="IF44" s="329"/>
      <c r="IG44" s="329"/>
      <c r="IH44" s="329"/>
      <c r="II44" s="329"/>
      <c r="IJ44" s="329"/>
      <c r="IK44" s="329"/>
      <c r="IL44" s="329"/>
      <c r="IM44" s="329"/>
      <c r="IN44" s="329"/>
      <c r="IO44" s="329"/>
      <c r="IP44" s="329"/>
      <c r="IQ44" s="329"/>
      <c r="IR44" s="329"/>
    </row>
    <row r="45" spans="1:252">
      <c r="A45" s="331"/>
      <c r="B45" s="331" t="s">
        <v>489</v>
      </c>
      <c r="C45" s="292"/>
      <c r="D45" s="332">
        <f t="shared" ref="D45:BK45" si="1">D2</f>
        <v>45077</v>
      </c>
      <c r="E45" s="332">
        <f t="shared" si="1"/>
        <v>45107</v>
      </c>
      <c r="F45" s="332">
        <f t="shared" si="1"/>
        <v>45138</v>
      </c>
      <c r="G45" s="332">
        <f t="shared" si="1"/>
        <v>45169</v>
      </c>
      <c r="H45" s="332">
        <f t="shared" si="1"/>
        <v>45199</v>
      </c>
      <c r="I45" s="332">
        <f t="shared" si="1"/>
        <v>45230</v>
      </c>
      <c r="J45" s="332">
        <f t="shared" si="1"/>
        <v>45260</v>
      </c>
      <c r="K45" s="332">
        <f t="shared" si="1"/>
        <v>45291</v>
      </c>
      <c r="L45" s="332">
        <f t="shared" si="1"/>
        <v>45322</v>
      </c>
      <c r="M45" s="332">
        <f t="shared" si="1"/>
        <v>45351</v>
      </c>
      <c r="N45" s="332">
        <f t="shared" si="1"/>
        <v>45382</v>
      </c>
      <c r="O45" s="332">
        <f t="shared" si="1"/>
        <v>45412</v>
      </c>
      <c r="P45" s="332">
        <f t="shared" si="1"/>
        <v>45443</v>
      </c>
      <c r="Q45" s="332">
        <f t="shared" si="1"/>
        <v>45473</v>
      </c>
      <c r="R45" s="332">
        <f t="shared" si="1"/>
        <v>45504</v>
      </c>
      <c r="S45" s="332">
        <f t="shared" si="1"/>
        <v>45535</v>
      </c>
      <c r="T45" s="332">
        <f t="shared" si="1"/>
        <v>45565</v>
      </c>
      <c r="U45" s="332">
        <f t="shared" si="1"/>
        <v>45596</v>
      </c>
      <c r="V45" s="332">
        <f t="shared" si="1"/>
        <v>45626</v>
      </c>
      <c r="W45" s="332">
        <f t="shared" si="1"/>
        <v>45657</v>
      </c>
      <c r="X45" s="332">
        <f t="shared" si="1"/>
        <v>45688</v>
      </c>
      <c r="Y45" s="332">
        <f t="shared" si="1"/>
        <v>45716</v>
      </c>
      <c r="Z45" s="332">
        <f t="shared" si="1"/>
        <v>45747</v>
      </c>
      <c r="AA45" s="332">
        <f t="shared" si="1"/>
        <v>45777</v>
      </c>
      <c r="AB45" s="332">
        <f t="shared" si="1"/>
        <v>45808</v>
      </c>
      <c r="AC45" s="332">
        <f t="shared" si="1"/>
        <v>45838</v>
      </c>
      <c r="AD45" s="332">
        <f t="shared" si="1"/>
        <v>45869</v>
      </c>
      <c r="AE45" s="332">
        <f t="shared" si="1"/>
        <v>45900</v>
      </c>
      <c r="AF45" s="332">
        <f t="shared" si="1"/>
        <v>45930</v>
      </c>
      <c r="AG45" s="332">
        <f t="shared" si="1"/>
        <v>45961</v>
      </c>
      <c r="AH45" s="332">
        <f t="shared" si="1"/>
        <v>45991</v>
      </c>
      <c r="AI45" s="332">
        <f t="shared" si="1"/>
        <v>46022</v>
      </c>
      <c r="AJ45" s="332">
        <f t="shared" si="1"/>
        <v>46053</v>
      </c>
      <c r="AK45" s="332">
        <f t="shared" si="1"/>
        <v>46081</v>
      </c>
      <c r="AL45" s="332">
        <f t="shared" si="1"/>
        <v>46112</v>
      </c>
      <c r="AM45" s="332">
        <f t="shared" si="1"/>
        <v>46142</v>
      </c>
      <c r="AN45" s="332">
        <f t="shared" si="1"/>
        <v>46173</v>
      </c>
      <c r="AO45" s="332">
        <f t="shared" si="1"/>
        <v>46203</v>
      </c>
      <c r="AP45" s="332">
        <f t="shared" si="1"/>
        <v>46234</v>
      </c>
      <c r="AQ45" s="332">
        <f t="shared" si="1"/>
        <v>46265</v>
      </c>
      <c r="AR45" s="332">
        <f t="shared" si="1"/>
        <v>46295</v>
      </c>
      <c r="AS45" s="332">
        <f t="shared" si="1"/>
        <v>46326</v>
      </c>
      <c r="AT45" s="332">
        <f t="shared" si="1"/>
        <v>46356</v>
      </c>
      <c r="AU45" s="332">
        <f t="shared" si="1"/>
        <v>46387</v>
      </c>
      <c r="AV45" s="332">
        <f t="shared" si="1"/>
        <v>46418</v>
      </c>
      <c r="AW45" s="332">
        <f t="shared" si="1"/>
        <v>46446</v>
      </c>
      <c r="AX45" s="332">
        <f t="shared" si="1"/>
        <v>46477</v>
      </c>
      <c r="AY45" s="332">
        <f t="shared" si="1"/>
        <v>46507</v>
      </c>
      <c r="AZ45" s="332">
        <f t="shared" si="1"/>
        <v>46538</v>
      </c>
      <c r="BA45" s="332">
        <f t="shared" si="1"/>
        <v>46568</v>
      </c>
      <c r="BB45" s="332">
        <f t="shared" si="1"/>
        <v>46599</v>
      </c>
      <c r="BC45" s="332">
        <f t="shared" si="1"/>
        <v>46630</v>
      </c>
      <c r="BD45" s="332">
        <f t="shared" si="1"/>
        <v>46660</v>
      </c>
      <c r="BE45" s="332">
        <f t="shared" si="1"/>
        <v>46691</v>
      </c>
      <c r="BF45" s="332">
        <f t="shared" si="1"/>
        <v>46721</v>
      </c>
      <c r="BG45" s="332">
        <f t="shared" si="1"/>
        <v>46752</v>
      </c>
      <c r="BH45" s="332">
        <f t="shared" si="1"/>
        <v>46783</v>
      </c>
      <c r="BI45" s="332">
        <f t="shared" si="1"/>
        <v>46812</v>
      </c>
      <c r="BJ45" s="332">
        <f t="shared" si="1"/>
        <v>46843</v>
      </c>
      <c r="BK45" s="332">
        <f t="shared" si="1"/>
        <v>46873</v>
      </c>
      <c r="BL45" s="331"/>
      <c r="BM45" s="331"/>
      <c r="BN45" s="331"/>
      <c r="BO45" s="331"/>
      <c r="BP45" s="331"/>
      <c r="BQ45" s="331"/>
      <c r="BR45" s="331"/>
      <c r="BS45" s="331"/>
      <c r="BT45" s="331"/>
      <c r="BU45" s="331"/>
      <c r="BV45" s="331"/>
      <c r="BW45" s="331"/>
      <c r="BX45" s="331"/>
      <c r="BY45" s="331"/>
      <c r="BZ45" s="331"/>
      <c r="CA45" s="331"/>
      <c r="CB45" s="331"/>
      <c r="CC45" s="331"/>
      <c r="CD45" s="331"/>
      <c r="CE45" s="331"/>
      <c r="CF45" s="331"/>
      <c r="CG45" s="331"/>
      <c r="CH45" s="331"/>
      <c r="CI45" s="331"/>
      <c r="CJ45" s="331"/>
      <c r="CK45" s="331"/>
      <c r="CL45" s="331"/>
      <c r="CM45" s="331"/>
      <c r="CN45" s="331"/>
      <c r="CO45" s="331"/>
      <c r="CP45" s="331"/>
      <c r="CQ45" s="331"/>
      <c r="CR45" s="331"/>
      <c r="CS45" s="331"/>
      <c r="CT45" s="331"/>
      <c r="CU45" s="331"/>
      <c r="CV45" s="331"/>
      <c r="CW45" s="331"/>
      <c r="CX45" s="331"/>
      <c r="CY45" s="331"/>
      <c r="CZ45" s="331"/>
      <c r="DA45" s="331"/>
      <c r="DB45" s="331"/>
      <c r="DC45" s="331"/>
      <c r="DD45" s="331"/>
      <c r="DE45" s="331"/>
      <c r="DF45" s="331"/>
      <c r="DG45" s="331"/>
      <c r="DH45" s="331"/>
      <c r="DI45" s="331"/>
      <c r="DJ45" s="331"/>
      <c r="DK45" s="331"/>
      <c r="DL45" s="331"/>
      <c r="DM45" s="331"/>
      <c r="DN45" s="331"/>
      <c r="DO45" s="331"/>
      <c r="DP45" s="331"/>
      <c r="DQ45" s="331"/>
      <c r="DR45" s="331"/>
      <c r="DS45" s="331"/>
      <c r="DT45" s="331"/>
      <c r="DU45" s="331"/>
      <c r="DV45" s="331"/>
      <c r="DW45" s="331"/>
      <c r="DX45" s="331"/>
      <c r="DY45" s="331"/>
      <c r="DZ45" s="331"/>
      <c r="EA45" s="331"/>
      <c r="EB45" s="331"/>
      <c r="EC45" s="331"/>
      <c r="ED45" s="331"/>
      <c r="EE45" s="331"/>
      <c r="EF45" s="331"/>
      <c r="EG45" s="331"/>
      <c r="EH45" s="331"/>
      <c r="EI45" s="331"/>
      <c r="EJ45" s="331"/>
      <c r="EK45" s="331"/>
      <c r="EL45" s="331"/>
      <c r="EM45" s="331"/>
      <c r="EN45" s="331"/>
      <c r="EO45" s="331"/>
      <c r="EP45" s="331"/>
      <c r="EQ45" s="331"/>
      <c r="ER45" s="331"/>
      <c r="ES45" s="331"/>
      <c r="ET45" s="331"/>
      <c r="EU45" s="331"/>
      <c r="EV45" s="331"/>
      <c r="EW45" s="331"/>
      <c r="EX45" s="331"/>
      <c r="EY45" s="331"/>
      <c r="EZ45" s="331"/>
      <c r="FA45" s="331"/>
      <c r="FB45" s="331"/>
      <c r="FC45" s="331"/>
      <c r="FD45" s="331"/>
      <c r="FE45" s="331"/>
      <c r="FF45" s="331"/>
      <c r="FG45" s="331"/>
      <c r="FH45" s="331"/>
      <c r="FI45" s="331"/>
      <c r="FJ45" s="331"/>
      <c r="FK45" s="331"/>
      <c r="FL45" s="331"/>
      <c r="FM45" s="331"/>
      <c r="FN45" s="331"/>
      <c r="FO45" s="331"/>
      <c r="FP45" s="331"/>
      <c r="FQ45" s="331"/>
      <c r="FR45" s="331"/>
      <c r="FS45" s="331"/>
      <c r="FT45" s="331"/>
      <c r="FU45" s="331"/>
      <c r="FV45" s="331"/>
      <c r="FW45" s="331"/>
      <c r="FX45" s="331"/>
      <c r="FY45" s="331"/>
      <c r="FZ45" s="331"/>
      <c r="GA45" s="331"/>
      <c r="GB45" s="331"/>
      <c r="GC45" s="331"/>
      <c r="GD45" s="331"/>
      <c r="GE45" s="331"/>
      <c r="GF45" s="331"/>
      <c r="GG45" s="331"/>
      <c r="GH45" s="331"/>
      <c r="GI45" s="331"/>
      <c r="GJ45" s="331"/>
      <c r="GK45" s="331"/>
      <c r="GL45" s="331"/>
      <c r="GM45" s="331"/>
      <c r="GN45" s="331"/>
      <c r="GO45" s="331"/>
      <c r="GP45" s="331"/>
      <c r="GQ45" s="331"/>
      <c r="GR45" s="331"/>
      <c r="GS45" s="331"/>
      <c r="GT45" s="331"/>
      <c r="GU45" s="331"/>
      <c r="GV45" s="331"/>
      <c r="GW45" s="331"/>
      <c r="GX45" s="331"/>
      <c r="GY45" s="331"/>
      <c r="GZ45" s="331"/>
      <c r="HA45" s="331"/>
      <c r="HB45" s="331"/>
      <c r="HC45" s="331"/>
      <c r="HD45" s="331"/>
      <c r="HE45" s="331"/>
      <c r="HF45" s="331"/>
      <c r="HG45" s="331"/>
      <c r="HH45" s="331"/>
      <c r="HI45" s="331"/>
      <c r="HJ45" s="331"/>
      <c r="HK45" s="331"/>
      <c r="HL45" s="331"/>
      <c r="HM45" s="331"/>
      <c r="HN45" s="331"/>
      <c r="HO45" s="331"/>
      <c r="HP45" s="331"/>
      <c r="HQ45" s="331"/>
      <c r="HR45" s="331"/>
      <c r="HS45" s="331"/>
      <c r="HT45" s="331"/>
      <c r="HU45" s="331"/>
      <c r="HV45" s="331"/>
      <c r="HW45" s="331"/>
      <c r="HX45" s="331"/>
      <c r="HY45" s="331"/>
      <c r="HZ45" s="331"/>
      <c r="IA45" s="331"/>
      <c r="IB45" s="331"/>
      <c r="IC45" s="331"/>
      <c r="ID45" s="331"/>
      <c r="IE45" s="331"/>
      <c r="IF45" s="331"/>
      <c r="IG45" s="331"/>
      <c r="IH45" s="331"/>
      <c r="II45" s="331"/>
      <c r="IJ45" s="331"/>
      <c r="IK45" s="331"/>
      <c r="IL45" s="331"/>
      <c r="IM45" s="331"/>
      <c r="IN45" s="331"/>
      <c r="IO45" s="331"/>
      <c r="IP45" s="331"/>
      <c r="IQ45" s="331"/>
      <c r="IR45" s="331"/>
    </row>
    <row r="46" spans="1:252">
      <c r="A46" s="329"/>
      <c r="B46" s="329"/>
      <c r="C46" s="292"/>
      <c r="D46" s="337"/>
      <c r="E46" s="337"/>
      <c r="F46" s="337"/>
      <c r="G46" s="337"/>
      <c r="H46" s="337"/>
      <c r="I46" s="337"/>
      <c r="J46" s="337"/>
      <c r="K46" s="337"/>
      <c r="L46" s="337"/>
      <c r="M46" s="337"/>
      <c r="N46" s="337"/>
      <c r="O46" s="337"/>
      <c r="P46" s="337"/>
      <c r="Q46" s="337"/>
      <c r="R46" s="337"/>
      <c r="S46" s="337"/>
      <c r="T46" s="337"/>
      <c r="U46" s="337"/>
      <c r="V46" s="337"/>
      <c r="W46" s="337"/>
      <c r="X46" s="337"/>
      <c r="Y46" s="337"/>
      <c r="Z46" s="337"/>
      <c r="AA46" s="337"/>
      <c r="AB46" s="337"/>
      <c r="AC46" s="337"/>
      <c r="AD46" s="337"/>
      <c r="AE46" s="337"/>
      <c r="AF46" s="337"/>
      <c r="AG46" s="337"/>
      <c r="AH46" s="337"/>
      <c r="AI46" s="337"/>
      <c r="AJ46" s="337"/>
      <c r="AK46" s="337"/>
      <c r="AL46" s="337"/>
      <c r="AM46" s="337"/>
      <c r="AN46" s="337"/>
      <c r="AO46" s="337"/>
      <c r="AP46" s="337"/>
      <c r="AQ46" s="337"/>
      <c r="AR46" s="337"/>
      <c r="AS46" s="337"/>
      <c r="AT46" s="337"/>
      <c r="AU46" s="337"/>
      <c r="AV46" s="337"/>
      <c r="AW46" s="337"/>
      <c r="AX46" s="337"/>
      <c r="AY46" s="337"/>
      <c r="AZ46" s="337"/>
      <c r="BA46" s="337"/>
      <c r="BB46" s="337"/>
      <c r="BC46" s="337"/>
      <c r="BD46" s="337"/>
      <c r="BE46" s="337"/>
      <c r="BF46" s="337"/>
      <c r="BG46" s="337"/>
      <c r="BH46" s="337"/>
      <c r="BI46" s="337"/>
      <c r="BJ46" s="337"/>
      <c r="BK46" s="337"/>
      <c r="BL46" s="329"/>
      <c r="BM46" s="329"/>
      <c r="BN46" s="329"/>
      <c r="BO46" s="329"/>
      <c r="BP46" s="329"/>
      <c r="BQ46" s="329"/>
      <c r="BR46" s="329"/>
      <c r="BS46" s="329"/>
      <c r="BT46" s="329"/>
      <c r="BU46" s="329"/>
      <c r="BV46" s="329"/>
      <c r="BW46" s="329"/>
      <c r="BX46" s="329"/>
      <c r="BY46" s="329"/>
      <c r="BZ46" s="329"/>
      <c r="CA46" s="329"/>
      <c r="CB46" s="329"/>
      <c r="CC46" s="329"/>
      <c r="CD46" s="329"/>
      <c r="CE46" s="329"/>
      <c r="CF46" s="329"/>
      <c r="CG46" s="329"/>
      <c r="CH46" s="329"/>
      <c r="CI46" s="329"/>
      <c r="CJ46" s="329"/>
      <c r="CK46" s="329"/>
      <c r="CL46" s="329"/>
      <c r="CM46" s="329"/>
      <c r="CN46" s="329"/>
      <c r="CO46" s="329"/>
      <c r="CP46" s="329"/>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row>
    <row r="47" spans="1:252" s="336" customFormat="1">
      <c r="A47" s="316"/>
      <c r="B47" s="316" t="str">
        <f>Cashflow!E8</f>
        <v>Cash in from Sales</v>
      </c>
      <c r="C47" s="292"/>
      <c r="D47" s="334">
        <f ca="1">Cashflow!J8</f>
        <v>0</v>
      </c>
      <c r="E47" s="334">
        <f ca="1">Cashflow!K8</f>
        <v>0</v>
      </c>
      <c r="F47" s="334">
        <f ca="1">Cashflow!L8</f>
        <v>0</v>
      </c>
      <c r="G47" s="334">
        <f ca="1">Cashflow!M8</f>
        <v>0</v>
      </c>
      <c r="H47" s="334">
        <f ca="1">Cashflow!N8</f>
        <v>1008000</v>
      </c>
      <c r="I47" s="334">
        <f ca="1">Cashflow!O8</f>
        <v>504000</v>
      </c>
      <c r="J47" s="334">
        <f ca="1">Cashflow!P8</f>
        <v>504000</v>
      </c>
      <c r="K47" s="334">
        <f ca="1">Cashflow!Q8</f>
        <v>504000</v>
      </c>
      <c r="L47" s="334">
        <f ca="1">Cashflow!R8</f>
        <v>2520000</v>
      </c>
      <c r="M47" s="334">
        <f ca="1">Cashflow!S8</f>
        <v>1512000</v>
      </c>
      <c r="N47" s="334">
        <f ca="1">Cashflow!T8</f>
        <v>1008000</v>
      </c>
      <c r="O47" s="334">
        <f ca="1">Cashflow!U8</f>
        <v>0</v>
      </c>
      <c r="P47" s="334">
        <f ca="1">Cashflow!V8</f>
        <v>5040000</v>
      </c>
      <c r="Q47" s="334">
        <f ca="1">Cashflow!W8</f>
        <v>0</v>
      </c>
      <c r="R47" s="334">
        <f ca="1">Cashflow!X8</f>
        <v>5040000</v>
      </c>
      <c r="S47" s="334">
        <f ca="1">Cashflow!Y8</f>
        <v>4181846.9977854234</v>
      </c>
      <c r="T47" s="334">
        <f ca="1">Cashflow!Z8</f>
        <v>1866153.0022145766</v>
      </c>
      <c r="U47" s="334">
        <f ca="1">Cashflow!AA8</f>
        <v>5471253.289331899</v>
      </c>
      <c r="V47" s="334">
        <f ca="1">Cashflow!AB8</f>
        <v>576746.71066810063</v>
      </c>
      <c r="W47" s="334">
        <f ca="1">Cashflow!AC8</f>
        <v>504000</v>
      </c>
      <c r="X47" s="334">
        <f ca="1">Cashflow!AD8</f>
        <v>2520000</v>
      </c>
      <c r="Y47" s="334">
        <f ca="1">Cashflow!AE8</f>
        <v>1512000</v>
      </c>
      <c r="Z47" s="334">
        <f ca="1">Cashflow!AF8</f>
        <v>1008000</v>
      </c>
      <c r="AA47" s="334">
        <f ca="1">Cashflow!AG8</f>
        <v>2520000</v>
      </c>
      <c r="AB47" s="334">
        <f ca="1">Cashflow!AH8</f>
        <v>7560000</v>
      </c>
      <c r="AC47" s="334">
        <f ca="1">Cashflow!AI8</f>
        <v>2520000</v>
      </c>
      <c r="AD47" s="334">
        <f ca="1">Cashflow!AJ8</f>
        <v>10080000</v>
      </c>
      <c r="AE47" s="334">
        <f ca="1">Cashflow!AK8</f>
        <v>6701846.997785423</v>
      </c>
      <c r="AF47" s="334">
        <f ca="1">Cashflow!AL8</f>
        <v>5898153.002214577</v>
      </c>
      <c r="AG47" s="334">
        <f ca="1">Cashflow!AM8</f>
        <v>7487253.289331899</v>
      </c>
      <c r="AH47" s="334">
        <f ca="1">Cashflow!AN8</f>
        <v>5112746.710668101</v>
      </c>
      <c r="AI47" s="334">
        <f ca="1">Cashflow!AO8</f>
        <v>5040000</v>
      </c>
      <c r="AJ47" s="334">
        <f ca="1">Cashflow!AP8</f>
        <v>5040000</v>
      </c>
      <c r="AK47" s="334">
        <f ca="1">Cashflow!AQ8</f>
        <v>5040000</v>
      </c>
      <c r="AL47" s="334">
        <f ca="1">Cashflow!AR8</f>
        <v>7560000</v>
      </c>
      <c r="AM47" s="334">
        <f ca="1">Cashflow!AS8</f>
        <v>7560000</v>
      </c>
      <c r="AN47" s="334">
        <f ca="1">Cashflow!AT8</f>
        <v>10080000</v>
      </c>
      <c r="AO47" s="334">
        <f ca="1">Cashflow!AU8</f>
        <v>10080000</v>
      </c>
      <c r="AP47" s="334">
        <f ca="1">Cashflow!AV8</f>
        <v>15120000</v>
      </c>
      <c r="AQ47" s="334">
        <f ca="1">Cashflow!AW8</f>
        <v>10080000</v>
      </c>
      <c r="AR47" s="334">
        <f ca="1">Cashflow!AX8</f>
        <v>15120000</v>
      </c>
      <c r="AS47" s="334">
        <f ca="1">Cashflow!AY8</f>
        <v>15120000</v>
      </c>
      <c r="AT47" s="334">
        <f ca="1">Cashflow!AZ8</f>
        <v>15120000</v>
      </c>
      <c r="AU47" s="334">
        <f ca="1">Cashflow!BA8</f>
        <v>17640000</v>
      </c>
      <c r="AV47" s="334">
        <f ca="1">Cashflow!BB8</f>
        <v>17640000</v>
      </c>
      <c r="AW47" s="334">
        <f ca="1">Cashflow!BC8</f>
        <v>17640000</v>
      </c>
      <c r="AX47" s="334">
        <f ca="1">Cashflow!BD8</f>
        <v>20160000</v>
      </c>
      <c r="AY47" s="334">
        <f ca="1">Cashflow!BE8</f>
        <v>20160000</v>
      </c>
      <c r="AZ47" s="334">
        <f ca="1">Cashflow!BF8</f>
        <v>22680000</v>
      </c>
      <c r="BA47" s="334">
        <f ca="1">Cashflow!BG8</f>
        <v>25200000</v>
      </c>
      <c r="BB47" s="334">
        <f ca="1">Cashflow!BH8</f>
        <v>27720000</v>
      </c>
      <c r="BC47" s="334">
        <f ca="1">Cashflow!BI8</f>
        <v>25200000</v>
      </c>
      <c r="BD47" s="334">
        <f ca="1">Cashflow!BJ8</f>
        <v>30240000</v>
      </c>
      <c r="BE47" s="334">
        <f ca="1">Cashflow!BK8</f>
        <v>32760000</v>
      </c>
      <c r="BF47" s="334">
        <f ca="1">Cashflow!BL8</f>
        <v>32760000</v>
      </c>
      <c r="BG47" s="334">
        <f ca="1">Cashflow!BM8</f>
        <v>35280000</v>
      </c>
      <c r="BH47" s="334">
        <f ca="1">Cashflow!BN8</f>
        <v>37800000</v>
      </c>
      <c r="BI47" s="334">
        <f ca="1">Cashflow!BO8</f>
        <v>37800000.000000007</v>
      </c>
      <c r="BJ47" s="334">
        <f ca="1">Cashflow!BP8</f>
        <v>40319999.999999993</v>
      </c>
      <c r="BK47" s="334">
        <f ca="1">Cashflow!BQ8</f>
        <v>45360000</v>
      </c>
      <c r="BL47" s="316"/>
      <c r="BM47" s="316"/>
      <c r="BN47" s="316"/>
      <c r="BO47" s="316"/>
      <c r="BP47" s="316"/>
      <c r="BQ47" s="316"/>
      <c r="BR47" s="316"/>
      <c r="BS47" s="316"/>
      <c r="BT47" s="316"/>
      <c r="BU47" s="316"/>
      <c r="BV47" s="316"/>
      <c r="BW47" s="316"/>
      <c r="BX47" s="316"/>
      <c r="BY47" s="316"/>
      <c r="BZ47" s="316"/>
      <c r="CA47" s="316"/>
      <c r="CB47" s="316"/>
      <c r="CC47" s="316"/>
      <c r="CD47" s="316"/>
      <c r="CE47" s="316"/>
      <c r="CF47" s="316"/>
      <c r="CG47" s="316"/>
      <c r="CH47" s="316"/>
      <c r="CI47" s="316"/>
      <c r="CJ47" s="316"/>
      <c r="CK47" s="316"/>
      <c r="CL47" s="316"/>
      <c r="CM47" s="316"/>
      <c r="CN47" s="316"/>
      <c r="CO47" s="316"/>
      <c r="CP47" s="316"/>
      <c r="CQ47" s="316"/>
      <c r="CR47" s="316"/>
      <c r="CS47" s="316"/>
      <c r="CT47" s="316"/>
      <c r="CU47" s="316"/>
      <c r="CV47" s="316"/>
      <c r="CW47" s="316"/>
      <c r="CX47" s="316"/>
      <c r="CY47" s="316"/>
      <c r="CZ47" s="316"/>
      <c r="DA47" s="316"/>
      <c r="DB47" s="316"/>
      <c r="DC47" s="316"/>
      <c r="DD47" s="316"/>
      <c r="DE47" s="316"/>
      <c r="DF47" s="316"/>
      <c r="DG47" s="316"/>
      <c r="DH47" s="316"/>
      <c r="DI47" s="316"/>
      <c r="DJ47" s="316"/>
      <c r="DK47" s="316"/>
      <c r="DL47" s="316"/>
      <c r="DM47" s="316"/>
      <c r="DN47" s="316"/>
      <c r="DO47" s="316"/>
      <c r="DP47" s="316"/>
      <c r="DQ47" s="316"/>
      <c r="DR47" s="316"/>
      <c r="DS47" s="316"/>
      <c r="DT47" s="316"/>
      <c r="DU47" s="316"/>
      <c r="DV47" s="316"/>
      <c r="DW47" s="316"/>
      <c r="DX47" s="316"/>
      <c r="DY47" s="316"/>
      <c r="DZ47" s="316"/>
      <c r="EA47" s="316"/>
      <c r="EB47" s="316"/>
      <c r="EC47" s="316"/>
      <c r="ED47" s="316"/>
      <c r="EE47" s="316"/>
      <c r="EF47" s="316"/>
      <c r="EG47" s="316"/>
      <c r="EH47" s="316"/>
      <c r="EI47" s="316"/>
      <c r="EJ47" s="316"/>
      <c r="EK47" s="316"/>
      <c r="EL47" s="316"/>
      <c r="EM47" s="316"/>
      <c r="EN47" s="316"/>
      <c r="EO47" s="316"/>
      <c r="EP47" s="316"/>
      <c r="EQ47" s="316"/>
      <c r="ER47" s="316"/>
      <c r="ES47" s="316"/>
      <c r="ET47" s="316"/>
      <c r="EU47" s="316"/>
      <c r="EV47" s="316"/>
      <c r="EW47" s="316"/>
      <c r="EX47" s="316"/>
      <c r="EY47" s="316"/>
      <c r="EZ47" s="316"/>
      <c r="FA47" s="316"/>
      <c r="FB47" s="316"/>
      <c r="FC47" s="316"/>
      <c r="FD47" s="316"/>
      <c r="FE47" s="316"/>
      <c r="FF47" s="316"/>
      <c r="FG47" s="316"/>
      <c r="FH47" s="316"/>
      <c r="FI47" s="316"/>
      <c r="FJ47" s="316"/>
      <c r="FK47" s="316"/>
      <c r="FL47" s="316"/>
      <c r="FM47" s="316"/>
      <c r="FN47" s="316"/>
      <c r="FO47" s="316"/>
      <c r="FP47" s="316"/>
      <c r="FQ47" s="316"/>
      <c r="FR47" s="316"/>
      <c r="FS47" s="316"/>
      <c r="FT47" s="316"/>
      <c r="FU47" s="316"/>
      <c r="FV47" s="316"/>
      <c r="FW47" s="316"/>
      <c r="FX47" s="316"/>
      <c r="FY47" s="316"/>
      <c r="FZ47" s="316"/>
      <c r="GA47" s="316"/>
      <c r="GB47" s="316"/>
      <c r="GC47" s="316"/>
      <c r="GD47" s="316"/>
      <c r="GE47" s="316"/>
      <c r="GF47" s="316"/>
      <c r="GG47" s="316"/>
      <c r="GH47" s="316"/>
      <c r="GI47" s="316"/>
      <c r="GJ47" s="316"/>
      <c r="GK47" s="316"/>
      <c r="GL47" s="316"/>
      <c r="GM47" s="316"/>
      <c r="GN47" s="316"/>
      <c r="GO47" s="316"/>
      <c r="GP47" s="316"/>
      <c r="GQ47" s="316"/>
      <c r="GR47" s="316"/>
      <c r="GS47" s="316"/>
      <c r="GT47" s="316"/>
      <c r="GU47" s="316"/>
      <c r="GV47" s="316"/>
      <c r="GW47" s="316"/>
      <c r="GX47" s="316"/>
      <c r="GY47" s="316"/>
      <c r="GZ47" s="316"/>
      <c r="HA47" s="316"/>
      <c r="HB47" s="316"/>
      <c r="HC47" s="316"/>
      <c r="HD47" s="316"/>
      <c r="HE47" s="316"/>
      <c r="HF47" s="316"/>
      <c r="HG47" s="316"/>
      <c r="HH47" s="316"/>
      <c r="HI47" s="316"/>
      <c r="HJ47" s="316"/>
      <c r="HK47" s="316"/>
      <c r="HL47" s="316"/>
      <c r="HM47" s="316"/>
      <c r="HN47" s="316"/>
      <c r="HO47" s="316"/>
      <c r="HP47" s="316"/>
      <c r="HQ47" s="316"/>
      <c r="HR47" s="316"/>
      <c r="HS47" s="316"/>
      <c r="HT47" s="316"/>
      <c r="HU47" s="316"/>
      <c r="HV47" s="316"/>
      <c r="HW47" s="316"/>
      <c r="HX47" s="316"/>
      <c r="HY47" s="316"/>
      <c r="HZ47" s="316"/>
      <c r="IA47" s="316"/>
      <c r="IB47" s="316"/>
      <c r="IC47" s="316"/>
      <c r="ID47" s="316"/>
      <c r="IE47" s="316"/>
      <c r="IF47" s="316"/>
      <c r="IG47" s="316"/>
      <c r="IH47" s="316"/>
      <c r="II47" s="316"/>
      <c r="IJ47" s="316"/>
      <c r="IK47" s="316"/>
      <c r="IL47" s="316"/>
      <c r="IM47" s="316"/>
      <c r="IN47" s="316"/>
      <c r="IO47" s="316"/>
      <c r="IP47" s="316"/>
      <c r="IQ47" s="316"/>
      <c r="IR47" s="316"/>
    </row>
    <row r="48" spans="1:252">
      <c r="B48" s="316" t="str">
        <f>Cashflow!E9</f>
        <v xml:space="preserve">Cash out on Operating Expense </v>
      </c>
      <c r="C48" s="292"/>
      <c r="D48" s="334">
        <f ca="1">Cashflow!J9</f>
        <v>-73700</v>
      </c>
      <c r="E48" s="334">
        <f ca="1">Cashflow!K9</f>
        <v>-73700</v>
      </c>
      <c r="F48" s="334">
        <f ca="1">Cashflow!L9</f>
        <v>-73700</v>
      </c>
      <c r="G48" s="334">
        <f ca="1">Cashflow!M9</f>
        <v>-74368.642536480067</v>
      </c>
      <c r="H48" s="334">
        <f ca="1">Cashflow!N9</f>
        <v>-166768.64253648007</v>
      </c>
      <c r="I48" s="334">
        <f ca="1">Cashflow!O9</f>
        <v>-166768.64253648007</v>
      </c>
      <c r="J48" s="334">
        <f ca="1">Cashflow!P9</f>
        <v>-167453.54263083613</v>
      </c>
      <c r="K48" s="334">
        <f ca="1">Cashflow!Q9</f>
        <v>-259853.54263083613</v>
      </c>
      <c r="L48" s="334">
        <f ca="1">Cashflow!R9</f>
        <v>-259853.54263083613</v>
      </c>
      <c r="M48" s="334">
        <f ca="1">Cashflow!S9</f>
        <v>-260555.09557378589</v>
      </c>
      <c r="N48" s="334">
        <f ca="1">Cashflow!T9</f>
        <v>-260555.09557378589</v>
      </c>
      <c r="O48" s="334">
        <f ca="1">Cashflow!U9</f>
        <v>-260555.09557378589</v>
      </c>
      <c r="P48" s="334">
        <f ca="1">Cashflow!V9</f>
        <v>-274985.97479699721</v>
      </c>
      <c r="Q48" s="334">
        <f ca="1">Cashflow!W9</f>
        <v>-289538.73315946513</v>
      </c>
      <c r="R48" s="334">
        <f ca="1">Cashflow!X9</f>
        <v>-304956.84356562863</v>
      </c>
      <c r="S48" s="334">
        <f ca="1">Cashflow!Y9</f>
        <v>-322030.29115590546</v>
      </c>
      <c r="T48" s="334">
        <f ca="1">Cashflow!Z9</f>
        <v>-339336.53494346759</v>
      </c>
      <c r="U48" s="334">
        <f ca="1">Cashflow!AA9</f>
        <v>-357671.86153837462</v>
      </c>
      <c r="V48" s="334">
        <f ca="1">Cashflow!AB9</f>
        <v>-377849.88382317126</v>
      </c>
      <c r="W48" s="334">
        <f ca="1">Cashflow!AC9</f>
        <v>-398430.592069312</v>
      </c>
      <c r="X48" s="334">
        <f ca="1">Cashflow!AD9</f>
        <v>-420235.09291187406</v>
      </c>
      <c r="Y48" s="334">
        <f ca="1">Cashflow!AE9</f>
        <v>-444109.32965202862</v>
      </c>
      <c r="Z48" s="334">
        <f ca="1">Cashflow!AF9</f>
        <v>-468584.05433013418</v>
      </c>
      <c r="AA48" s="334">
        <f ca="1">Cashflow!AG9</f>
        <v>-494514.12187119183</v>
      </c>
      <c r="AB48" s="334">
        <f ca="1">Cashflow!AH9</f>
        <v>-564329.84337513894</v>
      </c>
      <c r="AC48" s="334">
        <f ca="1">Cashflow!AI9</f>
        <v>-593435.3601000749</v>
      </c>
      <c r="AD48" s="334">
        <f ca="1">Cashflow!AJ9</f>
        <v>-624271.58091240178</v>
      </c>
      <c r="AE48" s="334">
        <f ca="1">Cashflow!AK9</f>
        <v>-657749.7995115727</v>
      </c>
      <c r="AF48" s="334">
        <f ca="1">Cashflow!AL9</f>
        <v>-775522.28708669741</v>
      </c>
      <c r="AG48" s="334">
        <f ca="1">Cashflow!AM9</f>
        <v>-812192.94027651148</v>
      </c>
      <c r="AH48" s="334">
        <f ca="1">Cashflow!AN9</f>
        <v>-851872.16169589094</v>
      </c>
      <c r="AI48" s="334">
        <f ca="1">Cashflow!AO9</f>
        <v>-976193.57818817208</v>
      </c>
      <c r="AJ48" s="334">
        <f ca="1">Cashflow!AP9</f>
        <v>-1019802.5798732961</v>
      </c>
      <c r="AK48" s="334">
        <f ca="1">Cashflow!AQ9</f>
        <v>-1066854.9831392134</v>
      </c>
      <c r="AL48" s="334">
        <f ca="1">Cashflow!AR9</f>
        <v>-1115804.4324954245</v>
      </c>
      <c r="AM48" s="334">
        <f ca="1">Cashflow!AS9</f>
        <v>-1167664.5675775397</v>
      </c>
      <c r="AN48" s="334">
        <f ca="1">Cashflow!AT9</f>
        <v>-1235811.1643934802</v>
      </c>
      <c r="AO48" s="334">
        <f ca="1">Cashflow!AU9</f>
        <v>-1307119.6803695734</v>
      </c>
      <c r="AP48" s="334">
        <f ca="1">Cashflow!AV9</f>
        <v>-1382668.4213597742</v>
      </c>
      <c r="AQ48" s="334">
        <f ca="1">Cashflow!AW9</f>
        <v>-1463598.9290120727</v>
      </c>
      <c r="AR48" s="334">
        <f ca="1">Cashflow!AX9</f>
        <v>-1548399.5235711278</v>
      </c>
      <c r="AS48" s="334">
        <f ca="1">Cashflow!AY9</f>
        <v>-1638242.6238861722</v>
      </c>
      <c r="AT48" s="334">
        <f ca="1">Cashflow!AZ9</f>
        <v>-1734339.0879513919</v>
      </c>
      <c r="AU48" s="334">
        <f ca="1">Cashflow!BA9</f>
        <v>-1835184.5583574814</v>
      </c>
      <c r="AV48" s="334">
        <f ca="1">Cashflow!BB9</f>
        <v>-1942026.6124860353</v>
      </c>
      <c r="AW48" s="334">
        <f ca="1">Cashflow!BC9</f>
        <v>-2056156.9043649959</v>
      </c>
      <c r="AX48" s="334">
        <f ca="1">Cashflow!BD9</f>
        <v>-2176083.0552877137</v>
      </c>
      <c r="AY48" s="334">
        <f ca="1">Cashflow!BE9</f>
        <v>-2303140.3862388963</v>
      </c>
      <c r="AZ48" s="334">
        <f ca="1">Cashflow!BF9</f>
        <v>-2438677.40462618</v>
      </c>
      <c r="BA48" s="334">
        <f ca="1">Cashflow!BG9</f>
        <v>-2581294.436578366</v>
      </c>
      <c r="BB48" s="334">
        <f ca="1">Cashflow!BH9</f>
        <v>-2732391.9185587675</v>
      </c>
      <c r="BC48" s="334">
        <f ca="1">Cashflow!BI9</f>
        <v>-2893452.5923918462</v>
      </c>
      <c r="BD48" s="334">
        <f ca="1">Cashflow!BJ9</f>
        <v>-3063053.7815099563</v>
      </c>
      <c r="BE48" s="334">
        <f ca="1">Cashflow!BK9</f>
        <v>-3242739.9821400456</v>
      </c>
      <c r="BF48" s="334">
        <f ca="1">Cashflow!BL9</f>
        <v>-3434113.1258512628</v>
      </c>
      <c r="BG48" s="334">
        <f ca="1">Cashflow!BM9</f>
        <v>-3635804.0666634417</v>
      </c>
      <c r="BH48" s="334">
        <f ca="1">Cashflow!BN9</f>
        <v>-3849488.1749205496</v>
      </c>
      <c r="BI48" s="334">
        <f ca="1">Cashflow!BO9</f>
        <v>-4076898.043775938</v>
      </c>
      <c r="BJ48" s="334">
        <f ca="1">Cashflow!BP9</f>
        <v>-4316750.3456213744</v>
      </c>
      <c r="BK48" s="334">
        <f ca="1">Cashflow!BQ9</f>
        <v>-4570865.0075237397</v>
      </c>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c r="HI48" s="292"/>
      <c r="HJ48" s="292"/>
      <c r="HK48" s="292"/>
      <c r="HL48" s="292"/>
      <c r="HM48" s="292"/>
      <c r="HN48" s="292"/>
      <c r="HO48" s="292"/>
      <c r="HP48" s="292"/>
      <c r="HQ48" s="292"/>
      <c r="HR48" s="292"/>
      <c r="HS48" s="292"/>
      <c r="HT48" s="292"/>
      <c r="HU48" s="292"/>
      <c r="HV48" s="292"/>
      <c r="HW48" s="292"/>
      <c r="HX48" s="292"/>
      <c r="HY48" s="292"/>
      <c r="HZ48" s="292"/>
      <c r="IA48" s="292"/>
      <c r="IB48" s="292"/>
      <c r="IC48" s="292"/>
      <c r="ID48" s="292"/>
      <c r="IE48" s="292"/>
      <c r="IF48" s="292"/>
      <c r="IG48" s="292"/>
      <c r="IH48" s="292"/>
      <c r="II48" s="292"/>
      <c r="IJ48" s="292"/>
      <c r="IK48" s="292"/>
      <c r="IL48" s="292"/>
      <c r="IM48" s="292"/>
      <c r="IN48" s="292"/>
      <c r="IO48" s="292"/>
      <c r="IP48" s="292"/>
      <c r="IQ48" s="292"/>
      <c r="IR48" s="292"/>
    </row>
    <row r="49" spans="1:252">
      <c r="B49" s="316" t="str">
        <f>Cashflow!E10</f>
        <v xml:space="preserve">VAT paid </v>
      </c>
      <c r="C49" s="292"/>
      <c r="D49" s="334">
        <f ca="1">Cashflow!J10</f>
        <v>0</v>
      </c>
      <c r="E49" s="334">
        <f ca="1">Cashflow!K10</f>
        <v>0</v>
      </c>
      <c r="F49" s="334">
        <f ca="1">Cashflow!L10</f>
        <v>13400</v>
      </c>
      <c r="G49" s="334">
        <f ca="1">Cashflow!M10</f>
        <v>0</v>
      </c>
      <c r="H49" s="334">
        <f ca="1">Cashflow!N10</f>
        <v>0</v>
      </c>
      <c r="I49" s="334">
        <f ca="1">Cashflow!O10</f>
        <v>-97378.428629730886</v>
      </c>
      <c r="J49" s="334">
        <f ca="1">Cashflow!P10</f>
        <v>0</v>
      </c>
      <c r="K49" s="334">
        <f ca="1">Cashflow!Q10</f>
        <v>0</v>
      </c>
      <c r="L49" s="334">
        <f ca="1">Cashflow!R10</f>
        <v>-631993.11565471347</v>
      </c>
      <c r="M49" s="334">
        <f ca="1">Cashflow!S10</f>
        <v>0</v>
      </c>
      <c r="N49" s="334">
        <f ca="1">Cashflow!T10</f>
        <v>0</v>
      </c>
      <c r="O49" s="334">
        <f ca="1">Cashflow!U10</f>
        <v>-867003.2969292358</v>
      </c>
      <c r="P49" s="334">
        <f ca="1">Cashflow!V10</f>
        <v>0</v>
      </c>
      <c r="Q49" s="334">
        <f ca="1">Cashflow!W10</f>
        <v>0</v>
      </c>
      <c r="R49" s="334">
        <f ca="1">Cashflow!X10</f>
        <v>-1461967.2447645178</v>
      </c>
      <c r="S49" s="334">
        <f ca="1">Cashflow!Y10</f>
        <v>0</v>
      </c>
      <c r="T49" s="334">
        <f ca="1">Cashflow!Z10</f>
        <v>0</v>
      </c>
      <c r="U49" s="334">
        <f ca="1">Cashflow!AA10</f>
        <v>-1126177.8940359142</v>
      </c>
      <c r="V49" s="334">
        <f ca="1">Cashflow!AB10</f>
        <v>0</v>
      </c>
      <c r="W49" s="334">
        <f ca="1">Cashflow!AC10</f>
        <v>0</v>
      </c>
      <c r="X49" s="334">
        <f ca="1">Cashflow!AD10</f>
        <v>-477913.42386992206</v>
      </c>
      <c r="Y49" s="334">
        <f ca="1">Cashflow!AE10</f>
        <v>0</v>
      </c>
      <c r="Z49" s="334">
        <f ca="1">Cashflow!AF10</f>
        <v>0</v>
      </c>
      <c r="AA49" s="334">
        <f ca="1">Cashflow!AG10</f>
        <v>-1551824.6839187241</v>
      </c>
      <c r="AB49" s="334">
        <f ca="1">Cashflow!AH10</f>
        <v>0</v>
      </c>
      <c r="AC49" s="334">
        <f ca="1">Cashflow!AI10</f>
        <v>0</v>
      </c>
      <c r="AD49" s="334">
        <f ca="1">Cashflow!AJ10</f>
        <v>-2821767.2882357761</v>
      </c>
      <c r="AE49" s="334">
        <f ca="1">Cashflow!AK10</f>
        <v>0</v>
      </c>
      <c r="AF49" s="334">
        <f ca="1">Cashflow!AL10</f>
        <v>0</v>
      </c>
      <c r="AG49" s="334">
        <f ca="1">Cashflow!AM10</f>
        <v>-2615976.0760499444</v>
      </c>
      <c r="AH49" s="334">
        <f ca="1">Cashflow!AN10</f>
        <v>0</v>
      </c>
      <c r="AI49" s="334">
        <f ca="1">Cashflow!AO10</f>
        <v>0</v>
      </c>
      <c r="AJ49" s="334">
        <f ca="1">Cashflow!AP10</f>
        <v>-1894976.4836217663</v>
      </c>
      <c r="AK49" s="334">
        <f ca="1">Cashflow!AQ10</f>
        <v>0</v>
      </c>
      <c r="AL49" s="334">
        <f ca="1">Cashflow!AR10</f>
        <v>0</v>
      </c>
      <c r="AM49" s="334">
        <f ca="1">Cashflow!AS10</f>
        <v>-3418867.0913174599</v>
      </c>
      <c r="AN49" s="334">
        <f ca="1">Cashflow!AT10</f>
        <v>0</v>
      </c>
      <c r="AO49" s="334">
        <f ca="1">Cashflow!AU10</f>
        <v>0</v>
      </c>
      <c r="AP49" s="334">
        <f ca="1">Cashflow!AV10</f>
        <v>-5017673.1443326734</v>
      </c>
      <c r="AQ49" s="334">
        <f ca="1">Cashflow!AW10</f>
        <v>0</v>
      </c>
      <c r="AR49" s="334">
        <f ca="1">Cashflow!AX10</f>
        <v>0</v>
      </c>
      <c r="AS49" s="334">
        <f ca="1">Cashflow!AY10</f>
        <v>-6495484.829641548</v>
      </c>
      <c r="AT49" s="334">
        <f ca="1">Cashflow!AZ10</f>
        <v>0</v>
      </c>
      <c r="AU49" s="334">
        <f ca="1">Cashflow!BA10</f>
        <v>0</v>
      </c>
      <c r="AV49" s="334">
        <f ca="1">Cashflow!BB10</f>
        <v>-7576566.7027095417</v>
      </c>
      <c r="AW49" s="334">
        <f ca="1">Cashflow!BC10</f>
        <v>0</v>
      </c>
      <c r="AX49" s="334">
        <f ca="1">Cashflow!BD10</f>
        <v>0</v>
      </c>
      <c r="AY49" s="334">
        <f ca="1">Cashflow!BE10</f>
        <v>-9028703.0388964768</v>
      </c>
      <c r="AZ49" s="334">
        <f ca="1">Cashflow!BF10</f>
        <v>0</v>
      </c>
      <c r="BA49" s="334">
        <f ca="1">Cashflow!BG10</f>
        <v>0</v>
      </c>
      <c r="BB49" s="334">
        <f ca="1">Cashflow!BH10</f>
        <v>-11269262.524777869</v>
      </c>
      <c r="BC49" s="334">
        <f ca="1">Cashflow!BI10</f>
        <v>0</v>
      </c>
      <c r="BD49" s="334">
        <f ca="1">Cashflow!BJ10</f>
        <v>0</v>
      </c>
      <c r="BE49" s="334">
        <f ca="1">Cashflow!BK10</f>
        <v>-13875100.155230857</v>
      </c>
      <c r="BF49" s="334">
        <f ca="1">Cashflow!BL10</f>
        <v>0</v>
      </c>
      <c r="BG49" s="334">
        <f ca="1">Cashflow!BM10</f>
        <v>0</v>
      </c>
      <c r="BH49" s="334">
        <f ca="1">Cashflow!BN10</f>
        <v>-16002485.711395023</v>
      </c>
      <c r="BI49" s="334">
        <f ca="1">Cashflow!BO10</f>
        <v>0</v>
      </c>
      <c r="BJ49" s="334">
        <f ca="1">Cashflow!BP10</f>
        <v>0</v>
      </c>
      <c r="BK49" s="334">
        <f ca="1">Cashflow!BQ10</f>
        <v>-18871987.585062012</v>
      </c>
      <c r="BS49" s="327"/>
      <c r="BT49" s="327"/>
      <c r="BU49" s="327"/>
      <c r="BV49" s="327"/>
      <c r="BW49" s="327"/>
      <c r="BX49" s="327"/>
      <c r="BY49" s="327"/>
      <c r="BZ49" s="327"/>
      <c r="CA49" s="327"/>
      <c r="CB49" s="327"/>
      <c r="CC49" s="327"/>
      <c r="CD49" s="327"/>
      <c r="CE49" s="327"/>
      <c r="CF49" s="327"/>
      <c r="CG49" s="327"/>
      <c r="CH49" s="327"/>
      <c r="CI49" s="327"/>
      <c r="CJ49" s="327"/>
      <c r="CK49" s="327"/>
      <c r="CL49" s="327"/>
      <c r="CM49" s="327"/>
      <c r="CN49" s="327"/>
      <c r="CO49" s="327"/>
      <c r="CP49" s="327"/>
      <c r="CQ49" s="327"/>
      <c r="CR49" s="327"/>
      <c r="CS49" s="327"/>
      <c r="CT49" s="327"/>
      <c r="CU49" s="327"/>
      <c r="CV49" s="327"/>
      <c r="CW49" s="327"/>
      <c r="CX49" s="327"/>
      <c r="CY49" s="327"/>
      <c r="CZ49" s="327"/>
      <c r="DA49" s="327"/>
      <c r="DB49" s="327"/>
      <c r="DC49" s="327"/>
      <c r="DD49" s="327"/>
      <c r="DE49" s="327"/>
      <c r="DF49" s="327"/>
      <c r="DG49" s="327"/>
      <c r="DH49" s="327"/>
      <c r="DI49" s="327"/>
      <c r="DJ49" s="327"/>
      <c r="DK49" s="327"/>
      <c r="DL49" s="327"/>
      <c r="DM49" s="327"/>
      <c r="DN49" s="327"/>
      <c r="DO49" s="327"/>
      <c r="DP49" s="327"/>
      <c r="DQ49" s="327"/>
      <c r="DR49" s="327"/>
      <c r="DS49" s="327"/>
      <c r="DT49" s="327"/>
      <c r="DU49" s="327"/>
      <c r="DV49" s="327"/>
      <c r="DW49" s="327"/>
      <c r="DX49" s="327"/>
      <c r="DY49" s="327"/>
      <c r="DZ49" s="327"/>
      <c r="EA49" s="327"/>
      <c r="EB49" s="327"/>
      <c r="EC49" s="327"/>
      <c r="ED49" s="327"/>
      <c r="EE49" s="327"/>
      <c r="EF49" s="327"/>
      <c r="EG49" s="327"/>
      <c r="EH49" s="327"/>
      <c r="EI49" s="327"/>
      <c r="EJ49" s="327"/>
      <c r="EK49" s="327"/>
      <c r="EL49" s="327"/>
      <c r="EM49" s="327"/>
      <c r="EN49" s="327"/>
      <c r="EO49" s="327"/>
      <c r="EP49" s="327"/>
      <c r="EQ49" s="327"/>
      <c r="ER49" s="327"/>
      <c r="ES49" s="327"/>
      <c r="ET49" s="327"/>
      <c r="EU49" s="327"/>
      <c r="EV49" s="327"/>
      <c r="EW49" s="327"/>
      <c r="EX49" s="327"/>
      <c r="EY49" s="327"/>
      <c r="EZ49" s="327"/>
      <c r="FA49" s="327"/>
      <c r="FB49" s="327"/>
      <c r="FC49" s="327"/>
      <c r="FD49" s="327"/>
      <c r="FE49" s="327"/>
      <c r="FF49" s="327"/>
      <c r="FG49" s="327"/>
      <c r="FH49" s="327"/>
      <c r="FI49" s="327"/>
      <c r="FJ49" s="327"/>
      <c r="FK49" s="327"/>
      <c r="FL49" s="327"/>
      <c r="FM49" s="327"/>
      <c r="FN49" s="327"/>
      <c r="FO49" s="327"/>
      <c r="FP49" s="327"/>
      <c r="FQ49" s="327"/>
      <c r="FR49" s="327"/>
      <c r="FS49" s="327"/>
      <c r="FT49" s="327"/>
      <c r="FU49" s="327"/>
      <c r="FV49" s="327"/>
      <c r="FW49" s="327"/>
      <c r="FX49" s="327"/>
      <c r="FY49" s="327"/>
      <c r="FZ49" s="327"/>
      <c r="GA49" s="327"/>
      <c r="GB49" s="327"/>
      <c r="GC49" s="327"/>
      <c r="GD49" s="327"/>
      <c r="GE49" s="327"/>
      <c r="GF49" s="327"/>
      <c r="GG49" s="327"/>
      <c r="GH49" s="327"/>
      <c r="GI49" s="327"/>
      <c r="GJ49" s="327"/>
      <c r="GK49" s="327"/>
      <c r="GL49" s="327"/>
      <c r="GM49" s="327"/>
      <c r="GN49" s="327"/>
      <c r="GO49" s="327"/>
      <c r="GP49" s="327"/>
      <c r="GQ49" s="327"/>
      <c r="GR49" s="327"/>
      <c r="GS49" s="327"/>
      <c r="GT49" s="327"/>
      <c r="GU49" s="327"/>
      <c r="GV49" s="327"/>
      <c r="GW49" s="327"/>
      <c r="GX49" s="327"/>
      <c r="GY49" s="327"/>
      <c r="GZ49" s="327"/>
      <c r="HA49" s="327"/>
      <c r="HB49" s="327"/>
      <c r="HC49" s="327"/>
      <c r="HD49" s="327"/>
      <c r="HE49" s="327"/>
      <c r="HF49" s="327"/>
      <c r="HG49" s="327"/>
      <c r="HH49" s="327"/>
      <c r="HI49" s="327"/>
      <c r="HJ49" s="327"/>
      <c r="HK49" s="327"/>
      <c r="HL49" s="327"/>
      <c r="HM49" s="327"/>
      <c r="HN49" s="327"/>
      <c r="HO49" s="327"/>
      <c r="HP49" s="327"/>
      <c r="HQ49" s="327"/>
      <c r="HR49" s="327"/>
      <c r="HS49" s="327"/>
      <c r="HT49" s="327"/>
      <c r="HU49" s="327"/>
      <c r="HV49" s="327"/>
      <c r="HW49" s="327"/>
      <c r="HX49" s="327"/>
      <c r="HY49" s="327"/>
      <c r="HZ49" s="327"/>
      <c r="IA49" s="327"/>
      <c r="IB49" s="327"/>
      <c r="IC49" s="327"/>
      <c r="ID49" s="327"/>
      <c r="IE49" s="327"/>
      <c r="IF49" s="327"/>
      <c r="IG49" s="327"/>
      <c r="IH49" s="327"/>
      <c r="II49" s="327"/>
      <c r="IJ49" s="327"/>
      <c r="IK49" s="327"/>
      <c r="IL49" s="327"/>
      <c r="IM49" s="327"/>
      <c r="IN49" s="327"/>
      <c r="IO49" s="327"/>
      <c r="IP49" s="327"/>
      <c r="IQ49" s="327"/>
      <c r="IR49" s="327"/>
    </row>
    <row r="50" spans="1:252" s="336" customFormat="1">
      <c r="A50" s="329"/>
      <c r="B50" s="316" t="str">
        <f>Cashflow!E11</f>
        <v xml:space="preserve">Corporation tax paid </v>
      </c>
      <c r="C50" s="292"/>
      <c r="D50" s="334">
        <f>Cashflow!J11</f>
        <v>0</v>
      </c>
      <c r="E50" s="334">
        <f ca="1">Cashflow!K11</f>
        <v>0</v>
      </c>
      <c r="F50" s="334">
        <f ca="1">Cashflow!L11</f>
        <v>0</v>
      </c>
      <c r="G50" s="334">
        <f ca="1">Cashflow!M11</f>
        <v>0</v>
      </c>
      <c r="H50" s="334">
        <f ca="1">Cashflow!N11</f>
        <v>0</v>
      </c>
      <c r="I50" s="334">
        <f ca="1">Cashflow!O11</f>
        <v>0</v>
      </c>
      <c r="J50" s="334">
        <f ca="1">Cashflow!P11</f>
        <v>0</v>
      </c>
      <c r="K50" s="334">
        <f ca="1">Cashflow!Q11</f>
        <v>0</v>
      </c>
      <c r="L50" s="334">
        <f ca="1">Cashflow!R11</f>
        <v>0</v>
      </c>
      <c r="M50" s="334">
        <f ca="1">Cashflow!S11</f>
        <v>0</v>
      </c>
      <c r="N50" s="334">
        <f ca="1">Cashflow!T11</f>
        <v>0</v>
      </c>
      <c r="O50" s="334">
        <f ca="1">Cashflow!U11</f>
        <v>0</v>
      </c>
      <c r="P50" s="334">
        <f ca="1">Cashflow!V11</f>
        <v>0</v>
      </c>
      <c r="Q50" s="334">
        <f ca="1">Cashflow!W11</f>
        <v>0</v>
      </c>
      <c r="R50" s="334">
        <f ca="1">Cashflow!X11</f>
        <v>0</v>
      </c>
      <c r="S50" s="334">
        <f ca="1">Cashflow!Y11</f>
        <v>-1155969.6821670486</v>
      </c>
      <c r="T50" s="334">
        <f ca="1">Cashflow!Z11</f>
        <v>0</v>
      </c>
      <c r="U50" s="334">
        <f ca="1">Cashflow!AA11</f>
        <v>0</v>
      </c>
      <c r="V50" s="334">
        <f ca="1">Cashflow!AB11</f>
        <v>0</v>
      </c>
      <c r="W50" s="334">
        <f ca="1">Cashflow!AC11</f>
        <v>0</v>
      </c>
      <c r="X50" s="334">
        <f ca="1">Cashflow!AD11</f>
        <v>0</v>
      </c>
      <c r="Y50" s="334">
        <f ca="1">Cashflow!AE11</f>
        <v>0</v>
      </c>
      <c r="Z50" s="334">
        <f ca="1">Cashflow!AF11</f>
        <v>0</v>
      </c>
      <c r="AA50" s="334">
        <f ca="1">Cashflow!AG11</f>
        <v>0</v>
      </c>
      <c r="AB50" s="334">
        <f ca="1">Cashflow!AH11</f>
        <v>0</v>
      </c>
      <c r="AC50" s="334">
        <f ca="1">Cashflow!AI11</f>
        <v>0</v>
      </c>
      <c r="AD50" s="334">
        <f ca="1">Cashflow!AJ11</f>
        <v>0</v>
      </c>
      <c r="AE50" s="334">
        <f ca="1">Cashflow!AK11</f>
        <v>-4469298.9841670301</v>
      </c>
      <c r="AF50" s="334">
        <f ca="1">Cashflow!AL11</f>
        <v>0</v>
      </c>
      <c r="AG50" s="334">
        <f ca="1">Cashflow!AM11</f>
        <v>0</v>
      </c>
      <c r="AH50" s="334">
        <f ca="1">Cashflow!AN11</f>
        <v>0</v>
      </c>
      <c r="AI50" s="334">
        <f ca="1">Cashflow!AO11</f>
        <v>0</v>
      </c>
      <c r="AJ50" s="334">
        <f ca="1">Cashflow!AP11</f>
        <v>0</v>
      </c>
      <c r="AK50" s="334">
        <f ca="1">Cashflow!AQ11</f>
        <v>0</v>
      </c>
      <c r="AL50" s="334">
        <f ca="1">Cashflow!AR11</f>
        <v>0</v>
      </c>
      <c r="AM50" s="334">
        <f ca="1">Cashflow!AS11</f>
        <v>0</v>
      </c>
      <c r="AN50" s="334">
        <f ca="1">Cashflow!AT11</f>
        <v>0</v>
      </c>
      <c r="AO50" s="334">
        <f ca="1">Cashflow!AU11</f>
        <v>0</v>
      </c>
      <c r="AP50" s="334">
        <f ca="1">Cashflow!AV11</f>
        <v>0</v>
      </c>
      <c r="AQ50" s="334">
        <f ca="1">Cashflow!AW11</f>
        <v>-9433606.0379642248</v>
      </c>
      <c r="AR50" s="334">
        <f ca="1">Cashflow!AX11</f>
        <v>0</v>
      </c>
      <c r="AS50" s="334">
        <f ca="1">Cashflow!AY11</f>
        <v>0</v>
      </c>
      <c r="AT50" s="334">
        <f ca="1">Cashflow!AZ11</f>
        <v>0</v>
      </c>
      <c r="AU50" s="334">
        <f ca="1">Cashflow!BA11</f>
        <v>0</v>
      </c>
      <c r="AV50" s="334">
        <f ca="1">Cashflow!BB11</f>
        <v>0</v>
      </c>
      <c r="AW50" s="334">
        <f ca="1">Cashflow!BC11</f>
        <v>0</v>
      </c>
      <c r="AX50" s="334">
        <f ca="1">Cashflow!BD11</f>
        <v>0</v>
      </c>
      <c r="AY50" s="334">
        <f ca="1">Cashflow!BE11</f>
        <v>0</v>
      </c>
      <c r="AZ50" s="334">
        <f ca="1">Cashflow!BF11</f>
        <v>0</v>
      </c>
      <c r="BA50" s="334">
        <f ca="1">Cashflow!BG11</f>
        <v>0</v>
      </c>
      <c r="BB50" s="334">
        <f ca="1">Cashflow!BH11</f>
        <v>0</v>
      </c>
      <c r="BC50" s="334">
        <f ca="1">Cashflow!BI11</f>
        <v>-21980011.267040946</v>
      </c>
      <c r="BD50" s="334">
        <f ca="1">Cashflow!BJ11</f>
        <v>0</v>
      </c>
      <c r="BE50" s="334">
        <f ca="1">Cashflow!BK11</f>
        <v>0</v>
      </c>
      <c r="BF50" s="334">
        <f ca="1">Cashflow!BL11</f>
        <v>0</v>
      </c>
      <c r="BG50" s="334">
        <f ca="1">Cashflow!BM11</f>
        <v>0</v>
      </c>
      <c r="BH50" s="334">
        <f ca="1">Cashflow!BN11</f>
        <v>0</v>
      </c>
      <c r="BI50" s="334">
        <f ca="1">Cashflow!BO11</f>
        <v>0</v>
      </c>
      <c r="BJ50" s="334">
        <f ca="1">Cashflow!BP11</f>
        <v>0</v>
      </c>
      <c r="BK50" s="334">
        <f ca="1">Cashflow!BQ11</f>
        <v>0</v>
      </c>
      <c r="BL50" s="329"/>
      <c r="BM50" s="329"/>
      <c r="BN50" s="329"/>
      <c r="BO50" s="329"/>
      <c r="BP50" s="329"/>
      <c r="BQ50" s="329"/>
      <c r="BR50" s="329"/>
      <c r="BS50" s="329"/>
      <c r="BT50" s="329"/>
      <c r="BU50" s="329"/>
      <c r="BV50" s="329"/>
      <c r="BW50" s="329"/>
      <c r="BX50" s="329"/>
      <c r="BY50" s="329"/>
      <c r="BZ50" s="329"/>
      <c r="CA50" s="329"/>
      <c r="CB50" s="329"/>
      <c r="CC50" s="329"/>
      <c r="CD50" s="329"/>
      <c r="CE50" s="329"/>
      <c r="CF50" s="329"/>
      <c r="CG50" s="329"/>
      <c r="CH50" s="329"/>
      <c r="CI50" s="329"/>
      <c r="CJ50" s="329"/>
      <c r="CK50" s="329"/>
      <c r="CL50" s="329"/>
      <c r="CM50" s="329"/>
      <c r="CN50" s="329"/>
      <c r="CO50" s="329"/>
      <c r="CP50" s="329"/>
      <c r="CQ50" s="329"/>
      <c r="CR50" s="329"/>
      <c r="CS50" s="329"/>
      <c r="CT50" s="329"/>
      <c r="CU50" s="329"/>
      <c r="CV50" s="329"/>
      <c r="CW50" s="329"/>
      <c r="CX50" s="329"/>
      <c r="CY50" s="329"/>
      <c r="CZ50" s="329"/>
      <c r="DA50" s="329"/>
      <c r="DB50" s="329"/>
      <c r="DC50" s="329"/>
      <c r="DD50" s="329"/>
      <c r="DE50" s="329"/>
      <c r="DF50" s="329"/>
      <c r="DG50" s="329"/>
      <c r="DH50" s="329"/>
      <c r="DI50" s="329"/>
      <c r="DJ50" s="329"/>
      <c r="DK50" s="329"/>
      <c r="DL50" s="329"/>
      <c r="DM50" s="329"/>
      <c r="DN50" s="329"/>
      <c r="DO50" s="329"/>
      <c r="DP50" s="329"/>
      <c r="DQ50" s="329"/>
      <c r="DR50" s="329"/>
      <c r="DS50" s="329"/>
      <c r="DT50" s="329"/>
      <c r="DU50" s="329"/>
      <c r="DV50" s="329"/>
      <c r="DW50" s="329"/>
      <c r="DX50" s="329"/>
      <c r="DY50" s="329"/>
      <c r="DZ50" s="329"/>
      <c r="EA50" s="329"/>
      <c r="EB50" s="329"/>
      <c r="EC50" s="329"/>
      <c r="ED50" s="329"/>
      <c r="EE50" s="329"/>
      <c r="EF50" s="329"/>
      <c r="EG50" s="329"/>
      <c r="EH50" s="329"/>
      <c r="EI50" s="329"/>
      <c r="EJ50" s="329"/>
      <c r="EK50" s="329"/>
      <c r="EL50" s="329"/>
      <c r="EM50" s="329"/>
      <c r="EN50" s="329"/>
      <c r="EO50" s="329"/>
      <c r="EP50" s="329"/>
      <c r="EQ50" s="329"/>
      <c r="ER50" s="329"/>
      <c r="ES50" s="329"/>
      <c r="ET50" s="329"/>
      <c r="EU50" s="329"/>
      <c r="EV50" s="329"/>
      <c r="EW50" s="329"/>
      <c r="EX50" s="329"/>
      <c r="EY50" s="329"/>
      <c r="EZ50" s="329"/>
      <c r="FA50" s="329"/>
      <c r="FB50" s="329"/>
      <c r="FC50" s="329"/>
      <c r="FD50" s="329"/>
      <c r="FE50" s="329"/>
      <c r="FF50" s="329"/>
      <c r="FG50" s="329"/>
      <c r="FH50" s="329"/>
      <c r="FI50" s="329"/>
      <c r="FJ50" s="329"/>
      <c r="FK50" s="329"/>
      <c r="FL50" s="329"/>
      <c r="FM50" s="329"/>
      <c r="FN50" s="329"/>
      <c r="FO50" s="329"/>
      <c r="FP50" s="329"/>
      <c r="FQ50" s="329"/>
      <c r="FR50" s="329"/>
      <c r="FS50" s="329"/>
      <c r="FT50" s="329"/>
      <c r="FU50" s="329"/>
      <c r="FV50" s="329"/>
      <c r="FW50" s="329"/>
      <c r="FX50" s="329"/>
      <c r="FY50" s="329"/>
      <c r="FZ50" s="329"/>
      <c r="GA50" s="329"/>
      <c r="GB50" s="329"/>
      <c r="GC50" s="329"/>
      <c r="GD50" s="329"/>
      <c r="GE50" s="329"/>
      <c r="GF50" s="329"/>
      <c r="GG50" s="329"/>
      <c r="GH50" s="329"/>
      <c r="GI50" s="329"/>
      <c r="GJ50" s="329"/>
      <c r="GK50" s="329"/>
      <c r="GL50" s="329"/>
      <c r="GM50" s="329"/>
      <c r="GN50" s="329"/>
      <c r="GO50" s="329"/>
      <c r="GP50" s="329"/>
      <c r="GQ50" s="329"/>
      <c r="GR50" s="329"/>
      <c r="GS50" s="329"/>
      <c r="GT50" s="329"/>
      <c r="GU50" s="329"/>
      <c r="GV50" s="329"/>
      <c r="GW50" s="329"/>
      <c r="GX50" s="329"/>
      <c r="GY50" s="329"/>
      <c r="GZ50" s="329"/>
      <c r="HA50" s="329"/>
      <c r="HB50" s="329"/>
      <c r="HC50" s="329"/>
      <c r="HD50" s="329"/>
      <c r="HE50" s="329"/>
      <c r="HF50" s="329"/>
      <c r="HG50" s="329"/>
      <c r="HH50" s="329"/>
      <c r="HI50" s="329"/>
      <c r="HJ50" s="329"/>
      <c r="HK50" s="329"/>
      <c r="HL50" s="329"/>
      <c r="HM50" s="329"/>
      <c r="HN50" s="329"/>
      <c r="HO50" s="329"/>
      <c r="HP50" s="329"/>
      <c r="HQ50" s="329"/>
      <c r="HR50" s="329"/>
      <c r="HS50" s="329"/>
      <c r="HT50" s="329"/>
      <c r="HU50" s="329"/>
      <c r="HV50" s="329"/>
      <c r="HW50" s="329"/>
      <c r="HX50" s="329"/>
      <c r="HY50" s="329"/>
      <c r="HZ50" s="329"/>
      <c r="IA50" s="329"/>
      <c r="IB50" s="329"/>
      <c r="IC50" s="329"/>
      <c r="ID50" s="329"/>
      <c r="IE50" s="329"/>
      <c r="IF50" s="329"/>
      <c r="IG50" s="329"/>
      <c r="IH50" s="329"/>
      <c r="II50" s="329"/>
      <c r="IJ50" s="329"/>
      <c r="IK50" s="329"/>
      <c r="IL50" s="329"/>
      <c r="IM50" s="329"/>
      <c r="IN50" s="329"/>
      <c r="IO50" s="329"/>
      <c r="IP50" s="329"/>
      <c r="IQ50" s="329"/>
      <c r="IR50" s="329"/>
    </row>
    <row r="51" spans="1:252">
      <c r="B51" s="327" t="str">
        <f>Cashflow!E12</f>
        <v>Operating Cashflow</v>
      </c>
      <c r="C51" s="323"/>
      <c r="D51" s="335">
        <f ca="1">Cashflow!J12</f>
        <v>-73700</v>
      </c>
      <c r="E51" s="335">
        <f ca="1">Cashflow!K12</f>
        <v>-73700</v>
      </c>
      <c r="F51" s="335">
        <f ca="1">Cashflow!L12</f>
        <v>-60300</v>
      </c>
      <c r="G51" s="335">
        <f ca="1">Cashflow!M12</f>
        <v>-74368.642536480067</v>
      </c>
      <c r="H51" s="335">
        <f ca="1">Cashflow!N12</f>
        <v>841231.3574635199</v>
      </c>
      <c r="I51" s="335">
        <f ca="1">Cashflow!O12</f>
        <v>239852.92883378902</v>
      </c>
      <c r="J51" s="335">
        <f ca="1">Cashflow!P12</f>
        <v>336546.45736916387</v>
      </c>
      <c r="K51" s="335">
        <f ca="1">Cashflow!Q12</f>
        <v>244146.45736916387</v>
      </c>
      <c r="L51" s="335">
        <f ca="1">Cashflow!R12</f>
        <v>1628153.3417144502</v>
      </c>
      <c r="M51" s="335">
        <f ca="1">Cashflow!S12</f>
        <v>1251444.9044262141</v>
      </c>
      <c r="N51" s="335">
        <f ca="1">Cashflow!T12</f>
        <v>747444.90442621405</v>
      </c>
      <c r="O51" s="335">
        <f ca="1">Cashflow!U12</f>
        <v>-1127558.3925030218</v>
      </c>
      <c r="P51" s="335">
        <f ca="1">Cashflow!V12</f>
        <v>4765014.0252030026</v>
      </c>
      <c r="Q51" s="335">
        <f ca="1">Cashflow!W12</f>
        <v>-289538.73315946513</v>
      </c>
      <c r="R51" s="335">
        <f ca="1">Cashflow!X12</f>
        <v>3273075.9116698531</v>
      </c>
      <c r="S51" s="335">
        <f ca="1">Cashflow!Y12</f>
        <v>2703847.0244624694</v>
      </c>
      <c r="T51" s="335">
        <f ca="1">Cashflow!Z12</f>
        <v>1526816.4672711091</v>
      </c>
      <c r="U51" s="335">
        <f ca="1">Cashflow!AA12</f>
        <v>3987403.5337576102</v>
      </c>
      <c r="V51" s="335">
        <f ca="1">Cashflow!AB12</f>
        <v>198896.82684492937</v>
      </c>
      <c r="W51" s="335">
        <f ca="1">Cashflow!AC12</f>
        <v>105569.407930688</v>
      </c>
      <c r="X51" s="335">
        <f ca="1">Cashflow!AD12</f>
        <v>1621851.483218204</v>
      </c>
      <c r="Y51" s="335">
        <f ca="1">Cashflow!AE12</f>
        <v>1067890.6703479714</v>
      </c>
      <c r="Z51" s="335">
        <f ca="1">Cashflow!AF12</f>
        <v>539415.94566986582</v>
      </c>
      <c r="AA51" s="335">
        <f ca="1">Cashflow!AG12</f>
        <v>473661.19421008416</v>
      </c>
      <c r="AB51" s="335">
        <f ca="1">Cashflow!AH12</f>
        <v>6995670.1566248611</v>
      </c>
      <c r="AC51" s="335">
        <f ca="1">Cashflow!AI12</f>
        <v>1926564.6398999251</v>
      </c>
      <c r="AD51" s="335">
        <f ca="1">Cashflow!AJ12</f>
        <v>6633961.130851822</v>
      </c>
      <c r="AE51" s="335">
        <f ca="1">Cashflow!AK12</f>
        <v>1574798.2141068205</v>
      </c>
      <c r="AF51" s="335">
        <f ca="1">Cashflow!AL12</f>
        <v>5122630.7151278798</v>
      </c>
      <c r="AG51" s="335">
        <f ca="1">Cashflow!AM12</f>
        <v>4059084.2730054427</v>
      </c>
      <c r="AH51" s="335">
        <f ca="1">Cashflow!AN12</f>
        <v>4260874.5489722099</v>
      </c>
      <c r="AI51" s="335">
        <f ca="1">Cashflow!AO12</f>
        <v>4063806.4218118279</v>
      </c>
      <c r="AJ51" s="335">
        <f ca="1">Cashflow!AP12</f>
        <v>2125220.9365049377</v>
      </c>
      <c r="AK51" s="335">
        <f ca="1">Cashflow!AQ12</f>
        <v>3973145.0168607868</v>
      </c>
      <c r="AL51" s="335">
        <f ca="1">Cashflow!AR12</f>
        <v>6444195.5675045755</v>
      </c>
      <c r="AM51" s="335">
        <f ca="1">Cashflow!AS12</f>
        <v>2973468.3411050001</v>
      </c>
      <c r="AN51" s="335">
        <f ca="1">Cashflow!AT12</f>
        <v>8844188.8356065191</v>
      </c>
      <c r="AO51" s="335">
        <f ca="1">Cashflow!AU12</f>
        <v>8772880.3196304273</v>
      </c>
      <c r="AP51" s="335">
        <f ca="1">Cashflow!AV12</f>
        <v>8719658.4343075529</v>
      </c>
      <c r="AQ51" s="335">
        <f ca="1">Cashflow!AW12</f>
        <v>-817204.96697629802</v>
      </c>
      <c r="AR51" s="335">
        <f ca="1">Cashflow!AX12</f>
        <v>13571600.476428872</v>
      </c>
      <c r="AS51" s="335">
        <f ca="1">Cashflow!AY12</f>
        <v>6986272.5464722803</v>
      </c>
      <c r="AT51" s="335">
        <f ca="1">Cashflow!AZ12</f>
        <v>13385660.912048608</v>
      </c>
      <c r="AU51" s="335">
        <f ca="1">Cashflow!BA12</f>
        <v>15804815.441642519</v>
      </c>
      <c r="AV51" s="335">
        <f ca="1">Cashflow!BB12</f>
        <v>8121406.6848044237</v>
      </c>
      <c r="AW51" s="335">
        <f ca="1">Cashflow!BC12</f>
        <v>15583843.095635004</v>
      </c>
      <c r="AX51" s="335">
        <f ca="1">Cashflow!BD12</f>
        <v>17983916.944712285</v>
      </c>
      <c r="AY51" s="335">
        <f ca="1">Cashflow!BE12</f>
        <v>8828156.5748646278</v>
      </c>
      <c r="AZ51" s="335">
        <f ca="1">Cashflow!BF12</f>
        <v>20241322.595373821</v>
      </c>
      <c r="BA51" s="335">
        <f ca="1">Cashflow!BG12</f>
        <v>22618705.563421633</v>
      </c>
      <c r="BB51" s="335">
        <f ca="1">Cashflow!BH12</f>
        <v>13718345.556663362</v>
      </c>
      <c r="BC51" s="335">
        <f ca="1">Cashflow!BI12</f>
        <v>326536.14056720957</v>
      </c>
      <c r="BD51" s="335">
        <f ca="1">Cashflow!BJ12</f>
        <v>27176946.218490042</v>
      </c>
      <c r="BE51" s="335">
        <f ca="1">Cashflow!BK12</f>
        <v>15642159.862629097</v>
      </c>
      <c r="BF51" s="335">
        <f ca="1">Cashflow!BL12</f>
        <v>29325886.874148738</v>
      </c>
      <c r="BG51" s="335">
        <f ca="1">Cashflow!BM12</f>
        <v>31644195.93333656</v>
      </c>
      <c r="BH51" s="335">
        <f ca="1">Cashflow!BN12</f>
        <v>17948026.113684423</v>
      </c>
      <c r="BI51" s="335">
        <f ca="1">Cashflow!BO12</f>
        <v>33723101.956224069</v>
      </c>
      <c r="BJ51" s="335">
        <f ca="1">Cashflow!BP12</f>
        <v>36003249.654378615</v>
      </c>
      <c r="BK51" s="335">
        <f ca="1">Cashflow!BQ12</f>
        <v>21917147.40741425</v>
      </c>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c r="HI51" s="292"/>
      <c r="HJ51" s="292"/>
      <c r="HK51" s="292"/>
      <c r="HL51" s="292"/>
      <c r="HM51" s="292"/>
      <c r="HN51" s="292"/>
      <c r="HO51" s="292"/>
      <c r="HP51" s="292"/>
      <c r="HQ51" s="292"/>
      <c r="HR51" s="292"/>
      <c r="HS51" s="292"/>
      <c r="HT51" s="292"/>
      <c r="HU51" s="292"/>
      <c r="HV51" s="292"/>
      <c r="HW51" s="292"/>
      <c r="HX51" s="292"/>
      <c r="HY51" s="292"/>
      <c r="HZ51" s="292"/>
      <c r="IA51" s="292"/>
      <c r="IB51" s="292"/>
      <c r="IC51" s="292"/>
      <c r="ID51" s="292"/>
      <c r="IE51" s="292"/>
      <c r="IF51" s="292"/>
      <c r="IG51" s="292"/>
      <c r="IH51" s="292"/>
      <c r="II51" s="292"/>
      <c r="IJ51" s="292"/>
      <c r="IK51" s="292"/>
      <c r="IL51" s="292"/>
      <c r="IM51" s="292"/>
      <c r="IN51" s="292"/>
      <c r="IO51" s="292"/>
      <c r="IP51" s="292"/>
      <c r="IQ51" s="292"/>
      <c r="IR51" s="292"/>
    </row>
    <row r="52" spans="1:252">
      <c r="C52" s="292"/>
      <c r="D52" s="334"/>
      <c r="E52" s="334"/>
      <c r="F52" s="334"/>
      <c r="G52" s="334"/>
      <c r="H52" s="334"/>
      <c r="I52" s="334"/>
      <c r="J52" s="334"/>
      <c r="K52" s="334"/>
      <c r="L52" s="334"/>
      <c r="M52" s="334"/>
      <c r="N52" s="334"/>
      <c r="O52" s="334"/>
      <c r="P52" s="334"/>
      <c r="Q52" s="334"/>
      <c r="R52" s="334"/>
      <c r="S52" s="334"/>
      <c r="T52" s="334"/>
      <c r="U52" s="334"/>
      <c r="V52" s="334"/>
      <c r="W52" s="334"/>
      <c r="X52" s="334"/>
      <c r="Y52" s="334"/>
      <c r="Z52" s="334"/>
      <c r="AA52" s="334"/>
      <c r="AB52" s="334"/>
      <c r="AC52" s="334"/>
      <c r="AD52" s="334"/>
      <c r="AE52" s="334"/>
      <c r="AF52" s="334"/>
      <c r="AG52" s="334"/>
      <c r="AH52" s="334"/>
      <c r="AI52" s="334"/>
      <c r="AJ52" s="334"/>
      <c r="AK52" s="334"/>
      <c r="AL52" s="334"/>
      <c r="AM52" s="334"/>
      <c r="AN52" s="334"/>
      <c r="AO52" s="334"/>
      <c r="AP52" s="334"/>
      <c r="AQ52" s="334"/>
      <c r="AR52" s="334"/>
      <c r="AS52" s="334"/>
      <c r="AT52" s="334"/>
      <c r="AU52" s="334"/>
      <c r="AV52" s="334"/>
      <c r="AW52" s="334"/>
      <c r="AX52" s="334"/>
      <c r="AY52" s="334"/>
      <c r="AZ52" s="334"/>
      <c r="BA52" s="334"/>
      <c r="BB52" s="334"/>
      <c r="BC52" s="334"/>
      <c r="BD52" s="334"/>
      <c r="BE52" s="334"/>
      <c r="BF52" s="334"/>
      <c r="BG52" s="334"/>
      <c r="BH52" s="334"/>
      <c r="BI52" s="334"/>
      <c r="BJ52" s="334"/>
      <c r="BK52" s="334"/>
      <c r="BS52" s="327"/>
      <c r="BT52" s="327"/>
      <c r="BU52" s="327"/>
      <c r="BV52" s="327"/>
      <c r="BW52" s="327"/>
      <c r="BX52" s="327"/>
      <c r="BY52" s="327"/>
      <c r="BZ52" s="327"/>
      <c r="CA52" s="327"/>
      <c r="CB52" s="327"/>
      <c r="CC52" s="327"/>
      <c r="CD52" s="327"/>
      <c r="CE52" s="327"/>
      <c r="CF52" s="327"/>
      <c r="CG52" s="327"/>
      <c r="CH52" s="327"/>
      <c r="CI52" s="327"/>
      <c r="CJ52" s="327"/>
      <c r="CK52" s="327"/>
      <c r="CL52" s="327"/>
      <c r="CM52" s="327"/>
      <c r="CN52" s="327"/>
      <c r="CO52" s="327"/>
      <c r="CP52" s="327"/>
      <c r="CQ52" s="327"/>
      <c r="CR52" s="327"/>
      <c r="CS52" s="327"/>
      <c r="CT52" s="327"/>
      <c r="CU52" s="327"/>
      <c r="CV52" s="327"/>
      <c r="CW52" s="327"/>
      <c r="CX52" s="327"/>
      <c r="CY52" s="327"/>
      <c r="CZ52" s="327"/>
      <c r="DA52" s="327"/>
      <c r="DB52" s="327"/>
      <c r="DC52" s="327"/>
      <c r="DD52" s="327"/>
      <c r="DE52" s="327"/>
      <c r="DF52" s="327"/>
      <c r="DG52" s="327"/>
      <c r="DH52" s="327"/>
      <c r="DI52" s="327"/>
      <c r="DJ52" s="327"/>
      <c r="DK52" s="327"/>
      <c r="DL52" s="327"/>
      <c r="DM52" s="327"/>
      <c r="DN52" s="327"/>
      <c r="DO52" s="327"/>
      <c r="DP52" s="327"/>
      <c r="DQ52" s="327"/>
      <c r="DR52" s="327"/>
      <c r="DS52" s="327"/>
      <c r="DT52" s="327"/>
      <c r="DU52" s="327"/>
      <c r="DV52" s="327"/>
      <c r="DW52" s="327"/>
      <c r="DX52" s="327"/>
      <c r="DY52" s="327"/>
      <c r="DZ52" s="327"/>
      <c r="EA52" s="327"/>
      <c r="EB52" s="327"/>
      <c r="EC52" s="327"/>
      <c r="ED52" s="327"/>
      <c r="EE52" s="327"/>
      <c r="EF52" s="327"/>
      <c r="EG52" s="327"/>
      <c r="EH52" s="327"/>
      <c r="EI52" s="327"/>
      <c r="EJ52" s="327"/>
      <c r="EK52" s="327"/>
      <c r="EL52" s="327"/>
      <c r="EM52" s="327"/>
      <c r="EN52" s="327"/>
      <c r="EO52" s="327"/>
      <c r="EP52" s="327"/>
      <c r="EQ52" s="327"/>
      <c r="ER52" s="327"/>
      <c r="ES52" s="327"/>
      <c r="ET52" s="327"/>
      <c r="EU52" s="327"/>
      <c r="EV52" s="327"/>
      <c r="EW52" s="327"/>
      <c r="EX52" s="327"/>
      <c r="EY52" s="327"/>
      <c r="EZ52" s="327"/>
      <c r="FA52" s="327"/>
      <c r="FB52" s="327"/>
      <c r="FC52" s="327"/>
      <c r="FD52" s="327"/>
      <c r="FE52" s="327"/>
      <c r="FF52" s="327"/>
      <c r="FG52" s="327"/>
      <c r="FH52" s="327"/>
      <c r="FI52" s="327"/>
      <c r="FJ52" s="327"/>
      <c r="FK52" s="327"/>
      <c r="FL52" s="327"/>
      <c r="FM52" s="327"/>
      <c r="FN52" s="327"/>
      <c r="FO52" s="327"/>
      <c r="FP52" s="327"/>
      <c r="FQ52" s="327"/>
      <c r="FR52" s="327"/>
      <c r="FS52" s="327"/>
      <c r="FT52" s="327"/>
      <c r="FU52" s="327"/>
      <c r="FV52" s="327"/>
      <c r="FW52" s="327"/>
      <c r="FX52" s="327"/>
      <c r="FY52" s="327"/>
      <c r="FZ52" s="327"/>
      <c r="GA52" s="327"/>
      <c r="GB52" s="327"/>
      <c r="GC52" s="327"/>
      <c r="GD52" s="327"/>
      <c r="GE52" s="327"/>
      <c r="GF52" s="327"/>
      <c r="GG52" s="327"/>
      <c r="GH52" s="327"/>
      <c r="GI52" s="327"/>
      <c r="GJ52" s="327"/>
      <c r="GK52" s="327"/>
      <c r="GL52" s="327"/>
      <c r="GM52" s="327"/>
      <c r="GN52" s="327"/>
      <c r="GO52" s="327"/>
      <c r="GP52" s="327"/>
      <c r="GQ52" s="327"/>
      <c r="GR52" s="327"/>
      <c r="GS52" s="327"/>
      <c r="GT52" s="327"/>
      <c r="GU52" s="327"/>
      <c r="GV52" s="327"/>
      <c r="GW52" s="327"/>
      <c r="GX52" s="327"/>
      <c r="GY52" s="327"/>
      <c r="GZ52" s="327"/>
      <c r="HA52" s="327"/>
      <c r="HB52" s="327"/>
      <c r="HC52" s="327"/>
      <c r="HD52" s="327"/>
      <c r="HE52" s="327"/>
      <c r="HF52" s="327"/>
      <c r="HG52" s="327"/>
      <c r="HH52" s="327"/>
      <c r="HI52" s="327"/>
      <c r="HJ52" s="327"/>
      <c r="HK52" s="327"/>
      <c r="HL52" s="327"/>
      <c r="HM52" s="327"/>
      <c r="HN52" s="327"/>
      <c r="HO52" s="327"/>
      <c r="HP52" s="327"/>
      <c r="HQ52" s="327"/>
      <c r="HR52" s="327"/>
      <c r="HS52" s="327"/>
      <c r="HT52" s="327"/>
      <c r="HU52" s="327"/>
      <c r="HV52" s="327"/>
      <c r="HW52" s="327"/>
      <c r="HX52" s="327"/>
      <c r="HY52" s="327"/>
      <c r="HZ52" s="327"/>
      <c r="IA52" s="327"/>
      <c r="IB52" s="327"/>
      <c r="IC52" s="327"/>
      <c r="ID52" s="327"/>
      <c r="IE52" s="327"/>
      <c r="IF52" s="327"/>
      <c r="IG52" s="327"/>
      <c r="IH52" s="327"/>
      <c r="II52" s="327"/>
      <c r="IJ52" s="327"/>
      <c r="IK52" s="327"/>
      <c r="IL52" s="327"/>
      <c r="IM52" s="327"/>
      <c r="IN52" s="327"/>
      <c r="IO52" s="327"/>
      <c r="IP52" s="327"/>
      <c r="IQ52" s="327"/>
      <c r="IR52" s="327"/>
    </row>
    <row r="53" spans="1:252">
      <c r="A53" s="329"/>
      <c r="B53" s="316" t="str">
        <f>Cashflow!E14</f>
        <v xml:space="preserve">Cash out on Inventory </v>
      </c>
      <c r="C53" s="292"/>
      <c r="D53" s="334">
        <f ca="1">Cashflow!J14</f>
        <v>0</v>
      </c>
      <c r="E53" s="334">
        <f ca="1">Cashflow!K14</f>
        <v>0</v>
      </c>
      <c r="F53" s="334">
        <f ca="1">Cashflow!L14</f>
        <v>-105000</v>
      </c>
      <c r="G53" s="334">
        <f ca="1">Cashflow!M14</f>
        <v>-105000</v>
      </c>
      <c r="H53" s="334">
        <f ca="1">Cashflow!N14</f>
        <v>-105000</v>
      </c>
      <c r="I53" s="334">
        <f ca="1">Cashflow!O14</f>
        <v>0</v>
      </c>
      <c r="J53" s="334">
        <f ca="1">Cashflow!P14</f>
        <v>-105000</v>
      </c>
      <c r="K53" s="334">
        <f ca="1">Cashflow!Q14</f>
        <v>0</v>
      </c>
      <c r="L53" s="334">
        <f ca="1">Cashflow!R14</f>
        <v>-398999.99999999994</v>
      </c>
      <c r="M53" s="334">
        <f ca="1">Cashflow!S14</f>
        <v>-293999.99999999994</v>
      </c>
      <c r="N53" s="334">
        <f ca="1">Cashflow!T14</f>
        <v>-293999.99999999994</v>
      </c>
      <c r="O53" s="334">
        <f ca="1">Cashflow!U14</f>
        <v>0</v>
      </c>
      <c r="P53" s="334">
        <f ca="1">Cashflow!V14</f>
        <v>-293999.99999999994</v>
      </c>
      <c r="Q53" s="334">
        <f ca="1">Cashflow!W14</f>
        <v>0</v>
      </c>
      <c r="R53" s="334">
        <f ca="1">Cashflow!X14</f>
        <v>-346499.99999999994</v>
      </c>
      <c r="S53" s="334">
        <f ca="1">Cashflow!Y14</f>
        <v>-52500</v>
      </c>
      <c r="T53" s="334">
        <f ca="1">Cashflow!Z14</f>
        <v>-52500</v>
      </c>
      <c r="U53" s="334">
        <f ca="1">Cashflow!AA14</f>
        <v>-105000</v>
      </c>
      <c r="V53" s="334">
        <f ca="1">Cashflow!AB14</f>
        <v>-52500</v>
      </c>
      <c r="W53" s="334">
        <f ca="1">Cashflow!AC14</f>
        <v>-105000</v>
      </c>
      <c r="X53" s="334">
        <f ca="1">Cashflow!AD14</f>
        <v>-199499.99999999997</v>
      </c>
      <c r="Y53" s="334">
        <f ca="1">Cashflow!AE14</f>
        <v>-251999.99999999997</v>
      </c>
      <c r="Z53" s="334">
        <f ca="1">Cashflow!AF14</f>
        <v>-251999.99999999997</v>
      </c>
      <c r="AA53" s="334">
        <f ca="1">Cashflow!AG14</f>
        <v>-398999.99999999994</v>
      </c>
      <c r="AB53" s="334">
        <f ca="1">Cashflow!AH14</f>
        <v>-251999.99999999997</v>
      </c>
      <c r="AC53" s="334">
        <f ca="1">Cashflow!AI14</f>
        <v>-451499.99999999994</v>
      </c>
      <c r="AD53" s="334">
        <f ca="1">Cashflow!AJ14</f>
        <v>-251999.99999999997</v>
      </c>
      <c r="AE53" s="334">
        <f ca="1">Cashflow!AK14</f>
        <v>-451499.99999999994</v>
      </c>
      <c r="AF53" s="334">
        <f ca="1">Cashflow!AL14</f>
        <v>-451499.99999999994</v>
      </c>
      <c r="AG53" s="334">
        <f ca="1">Cashflow!AM14</f>
        <v>-503999.99999999994</v>
      </c>
      <c r="AH53" s="334">
        <f ca="1">Cashflow!AN14</f>
        <v>-451499.99999999994</v>
      </c>
      <c r="AI53" s="334">
        <f ca="1">Cashflow!AO14</f>
        <v>-651000</v>
      </c>
      <c r="AJ53" s="334">
        <f ca="1">Cashflow!AP14</f>
        <v>-556500</v>
      </c>
      <c r="AK53" s="334">
        <f ca="1">Cashflow!AQ14</f>
        <v>-651000</v>
      </c>
      <c r="AL53" s="334">
        <f ca="1">Cashflow!AR14</f>
        <v>-703500</v>
      </c>
      <c r="AM53" s="334">
        <f ca="1">Cashflow!AS14</f>
        <v>-850499.99999999988</v>
      </c>
      <c r="AN53" s="334">
        <f ca="1">Cashflow!AT14</f>
        <v>-703500</v>
      </c>
      <c r="AO53" s="334">
        <f ca="1">Cashflow!AU14</f>
        <v>-850499.99999999988</v>
      </c>
      <c r="AP53" s="334">
        <f ca="1">Cashflow!AV14</f>
        <v>-1050000</v>
      </c>
      <c r="AQ53" s="334">
        <f ca="1">Cashflow!AW14</f>
        <v>-902999.99999999988</v>
      </c>
      <c r="AR53" s="334">
        <f ca="1">Cashflow!AX14</f>
        <v>-1102500</v>
      </c>
      <c r="AS53" s="334">
        <f ca="1">Cashflow!AY14</f>
        <v>-1102500</v>
      </c>
      <c r="AT53" s="334">
        <f ca="1">Cashflow!AZ14</f>
        <v>-1102500</v>
      </c>
      <c r="AU53" s="334">
        <f ca="1">Cashflow!BA14</f>
        <v>-1155000</v>
      </c>
      <c r="AV53" s="334">
        <f ca="1">Cashflow!BB14</f>
        <v>-1302000</v>
      </c>
      <c r="AW53" s="334">
        <f ca="1">Cashflow!BC14</f>
        <v>-1354500</v>
      </c>
      <c r="AX53" s="334">
        <f ca="1">Cashflow!BD14</f>
        <v>-1501500</v>
      </c>
      <c r="AY53" s="334">
        <f ca="1">Cashflow!BE14</f>
        <v>-1554000</v>
      </c>
      <c r="AZ53" s="334">
        <f ca="1">Cashflow!BF14</f>
        <v>-1554000</v>
      </c>
      <c r="BA53" s="334">
        <f ca="1">Cashflow!BG14</f>
        <v>-1753499.9999999998</v>
      </c>
      <c r="BB53" s="334">
        <f ca="1">Cashflow!BH14</f>
        <v>-1805999.9999999998</v>
      </c>
      <c r="BC53" s="334">
        <f ca="1">Cashflow!BI14</f>
        <v>-1953000</v>
      </c>
      <c r="BD53" s="334">
        <f ca="1">Cashflow!BJ14</f>
        <v>-2005500</v>
      </c>
      <c r="BE53" s="334">
        <f ca="1">Cashflow!BK14</f>
        <v>-2205000</v>
      </c>
      <c r="BF53" s="334">
        <f ca="1">Cashflow!BL14</f>
        <v>-2257500</v>
      </c>
      <c r="BG53" s="334">
        <f ca="1">Cashflow!BM14</f>
        <v>-2404500</v>
      </c>
      <c r="BH53" s="334">
        <f ca="1">Cashflow!BN14</f>
        <v>-2656500</v>
      </c>
      <c r="BI53" s="334">
        <f ca="1">Cashflow!BO14</f>
        <v>-2656500</v>
      </c>
      <c r="BJ53" s="334">
        <f ca="1">Cashflow!BP14</f>
        <v>-2908500</v>
      </c>
      <c r="BK53" s="334">
        <f ca="1">Cashflow!BQ14</f>
        <v>-3108000</v>
      </c>
      <c r="BL53" s="329"/>
      <c r="BM53" s="329"/>
      <c r="BN53" s="329"/>
      <c r="BO53" s="329"/>
      <c r="BP53" s="329"/>
      <c r="BQ53" s="329"/>
      <c r="BR53" s="329"/>
      <c r="BS53" s="329"/>
      <c r="BT53" s="329"/>
      <c r="BU53" s="329"/>
      <c r="BV53" s="329"/>
      <c r="BW53" s="329"/>
      <c r="BX53" s="329"/>
      <c r="BY53" s="329"/>
      <c r="BZ53" s="329"/>
      <c r="CA53" s="329"/>
      <c r="CB53" s="329"/>
      <c r="CC53" s="329"/>
      <c r="CD53" s="329"/>
      <c r="CE53" s="329"/>
      <c r="CF53" s="329"/>
      <c r="CG53" s="329"/>
      <c r="CH53" s="329"/>
      <c r="CI53" s="329"/>
      <c r="CJ53" s="329"/>
      <c r="CK53" s="329"/>
      <c r="CL53" s="329"/>
      <c r="CM53" s="329"/>
      <c r="CN53" s="329"/>
      <c r="CO53" s="329"/>
      <c r="CP53" s="329"/>
      <c r="CQ53" s="329"/>
      <c r="CR53" s="329"/>
      <c r="CS53" s="329"/>
      <c r="CT53" s="329"/>
      <c r="CU53" s="329"/>
      <c r="CV53" s="329"/>
      <c r="CW53" s="329"/>
      <c r="CX53" s="329"/>
      <c r="CY53" s="329"/>
      <c r="CZ53" s="329"/>
      <c r="DA53" s="329"/>
      <c r="DB53" s="329"/>
      <c r="DC53" s="329"/>
      <c r="DD53" s="329"/>
      <c r="DE53" s="329"/>
      <c r="DF53" s="329"/>
      <c r="DG53" s="329"/>
      <c r="DH53" s="329"/>
      <c r="DI53" s="329"/>
      <c r="DJ53" s="329"/>
      <c r="DK53" s="329"/>
      <c r="DL53" s="329"/>
      <c r="DM53" s="329"/>
      <c r="DN53" s="329"/>
      <c r="DO53" s="329"/>
      <c r="DP53" s="329"/>
      <c r="DQ53" s="329"/>
      <c r="DR53" s="329"/>
      <c r="DS53" s="329"/>
      <c r="DT53" s="329"/>
      <c r="DU53" s="329"/>
      <c r="DV53" s="329"/>
      <c r="DW53" s="329"/>
      <c r="DX53" s="329"/>
      <c r="DY53" s="329"/>
      <c r="DZ53" s="329"/>
      <c r="EA53" s="329"/>
      <c r="EB53" s="329"/>
      <c r="EC53" s="329"/>
      <c r="ED53" s="329"/>
      <c r="EE53" s="329"/>
      <c r="EF53" s="329"/>
      <c r="EG53" s="329"/>
      <c r="EH53" s="329"/>
      <c r="EI53" s="329"/>
      <c r="EJ53" s="329"/>
      <c r="EK53" s="329"/>
      <c r="EL53" s="329"/>
      <c r="EM53" s="329"/>
      <c r="EN53" s="329"/>
      <c r="EO53" s="329"/>
      <c r="EP53" s="329"/>
      <c r="EQ53" s="329"/>
      <c r="ER53" s="329"/>
      <c r="ES53" s="329"/>
      <c r="ET53" s="329"/>
      <c r="EU53" s="329"/>
      <c r="EV53" s="329"/>
      <c r="EW53" s="329"/>
      <c r="EX53" s="329"/>
      <c r="EY53" s="329"/>
      <c r="EZ53" s="329"/>
      <c r="FA53" s="329"/>
      <c r="FB53" s="329"/>
      <c r="FC53" s="329"/>
      <c r="FD53" s="329"/>
      <c r="FE53" s="329"/>
      <c r="FF53" s="329"/>
      <c r="FG53" s="329"/>
      <c r="FH53" s="329"/>
      <c r="FI53" s="329"/>
      <c r="FJ53" s="329"/>
      <c r="FK53" s="329"/>
      <c r="FL53" s="329"/>
      <c r="FM53" s="329"/>
      <c r="FN53" s="329"/>
      <c r="FO53" s="329"/>
      <c r="FP53" s="329"/>
      <c r="FQ53" s="329"/>
      <c r="FR53" s="329"/>
      <c r="FS53" s="329"/>
      <c r="FT53" s="329"/>
      <c r="FU53" s="329"/>
      <c r="FV53" s="329"/>
      <c r="FW53" s="329"/>
      <c r="FX53" s="329"/>
      <c r="FY53" s="329"/>
      <c r="FZ53" s="329"/>
      <c r="GA53" s="329"/>
      <c r="GB53" s="329"/>
      <c r="GC53" s="329"/>
      <c r="GD53" s="329"/>
      <c r="GE53" s="329"/>
      <c r="GF53" s="329"/>
      <c r="GG53" s="329"/>
      <c r="GH53" s="329"/>
      <c r="GI53" s="329"/>
      <c r="GJ53" s="329"/>
      <c r="GK53" s="329"/>
      <c r="GL53" s="329"/>
      <c r="GM53" s="329"/>
      <c r="GN53" s="329"/>
      <c r="GO53" s="329"/>
      <c r="GP53" s="329"/>
      <c r="GQ53" s="329"/>
      <c r="GR53" s="329"/>
      <c r="GS53" s="329"/>
      <c r="GT53" s="329"/>
      <c r="GU53" s="329"/>
      <c r="GV53" s="329"/>
      <c r="GW53" s="329"/>
      <c r="GX53" s="329"/>
      <c r="GY53" s="329"/>
      <c r="GZ53" s="329"/>
      <c r="HA53" s="329"/>
      <c r="HB53" s="329"/>
      <c r="HC53" s="329"/>
      <c r="HD53" s="329"/>
      <c r="HE53" s="329"/>
      <c r="HF53" s="329"/>
      <c r="HG53" s="329"/>
      <c r="HH53" s="329"/>
      <c r="HI53" s="329"/>
      <c r="HJ53" s="329"/>
      <c r="HK53" s="329"/>
      <c r="HL53" s="329"/>
      <c r="HM53" s="329"/>
      <c r="HN53" s="329"/>
      <c r="HO53" s="329"/>
      <c r="HP53" s="329"/>
      <c r="HQ53" s="329"/>
      <c r="HR53" s="329"/>
      <c r="HS53" s="329"/>
      <c r="HT53" s="329"/>
      <c r="HU53" s="329"/>
      <c r="HV53" s="329"/>
      <c r="HW53" s="329"/>
      <c r="HX53" s="329"/>
      <c r="HY53" s="329"/>
      <c r="HZ53" s="329"/>
      <c r="IA53" s="329"/>
      <c r="IB53" s="329"/>
      <c r="IC53" s="329"/>
      <c r="ID53" s="329"/>
      <c r="IE53" s="329"/>
      <c r="IF53" s="329"/>
      <c r="IG53" s="329"/>
      <c r="IH53" s="329"/>
      <c r="II53" s="329"/>
      <c r="IJ53" s="329"/>
      <c r="IK53" s="329"/>
      <c r="IL53" s="329"/>
      <c r="IM53" s="329"/>
      <c r="IN53" s="329"/>
      <c r="IO53" s="329"/>
      <c r="IP53" s="329"/>
      <c r="IQ53" s="329"/>
      <c r="IR53" s="329"/>
    </row>
    <row r="54" spans="1:252">
      <c r="B54" s="327" t="str">
        <f>Cashflow!E15</f>
        <v>CF after capex</v>
      </c>
      <c r="C54" s="323"/>
      <c r="D54" s="335">
        <f ca="1">Cashflow!J15</f>
        <v>-73700</v>
      </c>
      <c r="E54" s="335">
        <f ca="1">Cashflow!K15</f>
        <v>-73700</v>
      </c>
      <c r="F54" s="335">
        <f ca="1">Cashflow!L15</f>
        <v>-165300</v>
      </c>
      <c r="G54" s="335">
        <f ca="1">Cashflow!M15</f>
        <v>-179368.64253648007</v>
      </c>
      <c r="H54" s="335">
        <f ca="1">Cashflow!N15</f>
        <v>736231.3574635199</v>
      </c>
      <c r="I54" s="335">
        <f ca="1">Cashflow!O15</f>
        <v>239852.92883378902</v>
      </c>
      <c r="J54" s="335">
        <f ca="1">Cashflow!P15</f>
        <v>231546.45736916387</v>
      </c>
      <c r="K54" s="335">
        <f ca="1">Cashflow!Q15</f>
        <v>244146.45736916387</v>
      </c>
      <c r="L54" s="335">
        <f ca="1">Cashflow!R15</f>
        <v>1229153.3417144502</v>
      </c>
      <c r="M54" s="335">
        <f ca="1">Cashflow!S15</f>
        <v>957444.90442621405</v>
      </c>
      <c r="N54" s="335">
        <f ca="1">Cashflow!T15</f>
        <v>453444.90442621411</v>
      </c>
      <c r="O54" s="335">
        <f ca="1">Cashflow!U15</f>
        <v>-1127558.3925030218</v>
      </c>
      <c r="P54" s="335">
        <f ca="1">Cashflow!V15</f>
        <v>4471014.0252030026</v>
      </c>
      <c r="Q54" s="335">
        <f ca="1">Cashflow!W15</f>
        <v>-289538.73315946513</v>
      </c>
      <c r="R54" s="335">
        <f ca="1">Cashflow!X15</f>
        <v>2926575.9116698531</v>
      </c>
      <c r="S54" s="335">
        <f ca="1">Cashflow!Y15</f>
        <v>2651347.0244624694</v>
      </c>
      <c r="T54" s="335">
        <f ca="1">Cashflow!Z15</f>
        <v>1474316.4672711091</v>
      </c>
      <c r="U54" s="335">
        <f ca="1">Cashflow!AA15</f>
        <v>3882403.5337576102</v>
      </c>
      <c r="V54" s="335">
        <f ca="1">Cashflow!AB15</f>
        <v>146396.82684492937</v>
      </c>
      <c r="W54" s="335">
        <f ca="1">Cashflow!AC15</f>
        <v>569.40793068800122</v>
      </c>
      <c r="X54" s="335">
        <f ca="1">Cashflow!AD15</f>
        <v>1422351.483218204</v>
      </c>
      <c r="Y54" s="335">
        <f ca="1">Cashflow!AE15</f>
        <v>815890.67034797138</v>
      </c>
      <c r="Z54" s="335">
        <f ca="1">Cashflow!AF15</f>
        <v>287415.94566986582</v>
      </c>
      <c r="AA54" s="335">
        <f ca="1">Cashflow!AG15</f>
        <v>74661.194210084213</v>
      </c>
      <c r="AB54" s="335">
        <f ca="1">Cashflow!AH15</f>
        <v>6743670.1566248611</v>
      </c>
      <c r="AC54" s="335">
        <f ca="1">Cashflow!AI15</f>
        <v>1475064.6398999251</v>
      </c>
      <c r="AD54" s="335">
        <f ca="1">Cashflow!AJ15</f>
        <v>6381961.130851822</v>
      </c>
      <c r="AE54" s="335">
        <f ca="1">Cashflow!AK15</f>
        <v>1123298.2141068205</v>
      </c>
      <c r="AF54" s="335">
        <f ca="1">Cashflow!AL15</f>
        <v>4671130.7151278798</v>
      </c>
      <c r="AG54" s="335">
        <f ca="1">Cashflow!AM15</f>
        <v>3555084.2730054427</v>
      </c>
      <c r="AH54" s="335">
        <f ca="1">Cashflow!AN15</f>
        <v>3809374.5489722099</v>
      </c>
      <c r="AI54" s="335">
        <f ca="1">Cashflow!AO15</f>
        <v>3412806.4218118279</v>
      </c>
      <c r="AJ54" s="335">
        <f ca="1">Cashflow!AP15</f>
        <v>1568720.9365049377</v>
      </c>
      <c r="AK54" s="335">
        <f ca="1">Cashflow!AQ15</f>
        <v>3322145.0168607868</v>
      </c>
      <c r="AL54" s="335">
        <f ca="1">Cashflow!AR15</f>
        <v>5740695.5675045755</v>
      </c>
      <c r="AM54" s="335">
        <f ca="1">Cashflow!AS15</f>
        <v>2122968.3411050001</v>
      </c>
      <c r="AN54" s="335">
        <f ca="1">Cashflow!AT15</f>
        <v>8140688.8356065191</v>
      </c>
      <c r="AO54" s="335">
        <f ca="1">Cashflow!AU15</f>
        <v>7922380.3196304273</v>
      </c>
      <c r="AP54" s="335">
        <f ca="1">Cashflow!AV15</f>
        <v>7669658.4343075529</v>
      </c>
      <c r="AQ54" s="335">
        <f ca="1">Cashflow!AW15</f>
        <v>-1720204.966976298</v>
      </c>
      <c r="AR54" s="335">
        <f ca="1">Cashflow!AX15</f>
        <v>12469100.476428872</v>
      </c>
      <c r="AS54" s="335">
        <f ca="1">Cashflow!AY15</f>
        <v>5883772.5464722803</v>
      </c>
      <c r="AT54" s="335">
        <f ca="1">Cashflow!AZ15</f>
        <v>12283160.912048608</v>
      </c>
      <c r="AU54" s="335">
        <f ca="1">Cashflow!BA15</f>
        <v>14649815.441642519</v>
      </c>
      <c r="AV54" s="335">
        <f ca="1">Cashflow!BB15</f>
        <v>6819406.6848044237</v>
      </c>
      <c r="AW54" s="335">
        <f ca="1">Cashflow!BC15</f>
        <v>14229343.095635004</v>
      </c>
      <c r="AX54" s="335">
        <f ca="1">Cashflow!BD15</f>
        <v>16482416.944712285</v>
      </c>
      <c r="AY54" s="335">
        <f ca="1">Cashflow!BE15</f>
        <v>7274156.5748646278</v>
      </c>
      <c r="AZ54" s="335">
        <f ca="1">Cashflow!BF15</f>
        <v>18687322.595373821</v>
      </c>
      <c r="BA54" s="335">
        <f ca="1">Cashflow!BG15</f>
        <v>20865205.563421633</v>
      </c>
      <c r="BB54" s="335">
        <f ca="1">Cashflow!BH15</f>
        <v>11912345.556663362</v>
      </c>
      <c r="BC54" s="335">
        <f ca="1">Cashflow!BI15</f>
        <v>-1626463.8594327904</v>
      </c>
      <c r="BD54" s="335">
        <f ca="1">Cashflow!BJ15</f>
        <v>25171446.218490042</v>
      </c>
      <c r="BE54" s="335">
        <f ca="1">Cashflow!BK15</f>
        <v>13437159.862629097</v>
      </c>
      <c r="BF54" s="335">
        <f ca="1">Cashflow!BL15</f>
        <v>27068386.874148738</v>
      </c>
      <c r="BG54" s="335">
        <f ca="1">Cashflow!BM15</f>
        <v>29239695.93333656</v>
      </c>
      <c r="BH54" s="335">
        <f ca="1">Cashflow!BN15</f>
        <v>15291526.113684423</v>
      </c>
      <c r="BI54" s="335">
        <f ca="1">Cashflow!BO15</f>
        <v>31066601.956224069</v>
      </c>
      <c r="BJ54" s="335">
        <f ca="1">Cashflow!BP15</f>
        <v>33094749.654378615</v>
      </c>
      <c r="BK54" s="335">
        <f ca="1">Cashflow!BQ15</f>
        <v>18809147.40741425</v>
      </c>
      <c r="IR54" s="316"/>
    </row>
    <row r="55" spans="1:252">
      <c r="C55" s="292"/>
      <c r="D55" s="334"/>
      <c r="E55" s="334"/>
      <c r="F55" s="334"/>
      <c r="G55" s="334"/>
      <c r="H55" s="334"/>
      <c r="I55" s="334"/>
      <c r="J55" s="334"/>
      <c r="K55" s="334"/>
      <c r="L55" s="334"/>
      <c r="M55" s="334"/>
      <c r="N55" s="334"/>
      <c r="O55" s="334"/>
      <c r="P55" s="334"/>
      <c r="Q55" s="334"/>
      <c r="R55" s="334"/>
      <c r="S55" s="334"/>
      <c r="T55" s="334"/>
      <c r="U55" s="334"/>
      <c r="V55" s="334"/>
      <c r="W55" s="334"/>
      <c r="X55" s="334"/>
      <c r="Y55" s="334"/>
      <c r="Z55" s="334"/>
      <c r="AA55" s="334"/>
      <c r="AB55" s="334"/>
      <c r="AC55" s="334"/>
      <c r="AD55" s="334"/>
      <c r="AE55" s="334"/>
      <c r="AF55" s="334"/>
      <c r="AG55" s="334"/>
      <c r="AH55" s="334"/>
      <c r="AI55" s="334"/>
      <c r="AJ55" s="334"/>
      <c r="AK55" s="334"/>
      <c r="AL55" s="334"/>
      <c r="AM55" s="334"/>
      <c r="AN55" s="334"/>
      <c r="AO55" s="334"/>
      <c r="AP55" s="334"/>
      <c r="AQ55" s="334"/>
      <c r="AR55" s="334"/>
      <c r="AS55" s="334"/>
      <c r="AT55" s="334"/>
      <c r="AU55" s="334"/>
      <c r="AV55" s="334"/>
      <c r="AW55" s="334"/>
      <c r="AX55" s="334"/>
      <c r="AY55" s="334"/>
      <c r="AZ55" s="334"/>
      <c r="BA55" s="334"/>
      <c r="BB55" s="334"/>
      <c r="BC55" s="334"/>
      <c r="BD55" s="334"/>
      <c r="BE55" s="334"/>
      <c r="BF55" s="334"/>
      <c r="BG55" s="334"/>
      <c r="BH55" s="334"/>
      <c r="BI55" s="334"/>
      <c r="BJ55" s="334"/>
      <c r="BK55" s="334"/>
      <c r="IR55" s="316"/>
    </row>
    <row r="56" spans="1:252">
      <c r="B56" s="316" t="str">
        <f>Cashflow!E17</f>
        <v>Supply Chain Finance drawdown</v>
      </c>
      <c r="C56" s="292"/>
      <c r="D56" s="334">
        <f>Cashflow!J17</f>
        <v>0</v>
      </c>
      <c r="E56" s="334">
        <f>Cashflow!K17</f>
        <v>0</v>
      </c>
      <c r="F56" s="334">
        <f>Cashflow!L17</f>
        <v>0</v>
      </c>
      <c r="G56" s="334">
        <f>Cashflow!M17</f>
        <v>0</v>
      </c>
      <c r="H56" s="334">
        <f>Cashflow!N17</f>
        <v>0</v>
      </c>
      <c r="I56" s="334">
        <f>Cashflow!O17</f>
        <v>0</v>
      </c>
      <c r="J56" s="334">
        <f>Cashflow!P17</f>
        <v>0</v>
      </c>
      <c r="K56" s="334">
        <f>Cashflow!Q17</f>
        <v>0</v>
      </c>
      <c r="L56" s="334">
        <f>Cashflow!R17</f>
        <v>0</v>
      </c>
      <c r="M56" s="334">
        <f>Cashflow!S17</f>
        <v>0</v>
      </c>
      <c r="N56" s="334">
        <f>Cashflow!T17</f>
        <v>0</v>
      </c>
      <c r="O56" s="334">
        <f>Cashflow!U17</f>
        <v>0</v>
      </c>
      <c r="P56" s="334">
        <f ca="1">Cashflow!V17</f>
        <v>0</v>
      </c>
      <c r="Q56" s="334">
        <f ca="1">Cashflow!W17</f>
        <v>0</v>
      </c>
      <c r="R56" s="334">
        <f ca="1">Cashflow!X17</f>
        <v>0</v>
      </c>
      <c r="S56" s="334">
        <f ca="1">Cashflow!Y17</f>
        <v>0</v>
      </c>
      <c r="T56" s="334">
        <f ca="1">Cashflow!Z17</f>
        <v>0</v>
      </c>
      <c r="U56" s="334">
        <f ca="1">Cashflow!AA17</f>
        <v>0</v>
      </c>
      <c r="V56" s="334">
        <f ca="1">Cashflow!AB17</f>
        <v>0</v>
      </c>
      <c r="W56" s="334">
        <f ca="1">Cashflow!AC17</f>
        <v>0</v>
      </c>
      <c r="X56" s="334">
        <f ca="1">Cashflow!AD17</f>
        <v>0</v>
      </c>
      <c r="Y56" s="334">
        <f ca="1">Cashflow!AE17</f>
        <v>0</v>
      </c>
      <c r="Z56" s="334">
        <f ca="1">Cashflow!AF17</f>
        <v>0</v>
      </c>
      <c r="AA56" s="334">
        <f ca="1">Cashflow!AG17</f>
        <v>0</v>
      </c>
      <c r="AB56" s="334">
        <f ca="1">Cashflow!AH17</f>
        <v>0</v>
      </c>
      <c r="AC56" s="334">
        <f ca="1">Cashflow!AI17</f>
        <v>0</v>
      </c>
      <c r="AD56" s="334">
        <f ca="1">Cashflow!AJ17</f>
        <v>0</v>
      </c>
      <c r="AE56" s="334">
        <f ca="1">Cashflow!AK17</f>
        <v>0</v>
      </c>
      <c r="AF56" s="334">
        <f ca="1">Cashflow!AL17</f>
        <v>0</v>
      </c>
      <c r="AG56" s="334">
        <f ca="1">Cashflow!AM17</f>
        <v>0</v>
      </c>
      <c r="AH56" s="334">
        <f ca="1">Cashflow!AN17</f>
        <v>0</v>
      </c>
      <c r="AI56" s="334">
        <f ca="1">Cashflow!AO17</f>
        <v>0</v>
      </c>
      <c r="AJ56" s="334">
        <f ca="1">Cashflow!AP17</f>
        <v>0</v>
      </c>
      <c r="AK56" s="334">
        <f ca="1">Cashflow!AQ17</f>
        <v>0</v>
      </c>
      <c r="AL56" s="334">
        <f ca="1">Cashflow!AR17</f>
        <v>0</v>
      </c>
      <c r="AM56" s="334">
        <f ca="1">Cashflow!AS17</f>
        <v>0</v>
      </c>
      <c r="AN56" s="334">
        <f ca="1">Cashflow!AT17</f>
        <v>0</v>
      </c>
      <c r="AO56" s="334">
        <f ca="1">Cashflow!AU17</f>
        <v>0</v>
      </c>
      <c r="AP56" s="334">
        <f ca="1">Cashflow!AV17</f>
        <v>0</v>
      </c>
      <c r="AQ56" s="334">
        <f ca="1">Cashflow!AW17</f>
        <v>0</v>
      </c>
      <c r="AR56" s="334">
        <f ca="1">Cashflow!AX17</f>
        <v>0</v>
      </c>
      <c r="AS56" s="334">
        <f ca="1">Cashflow!AY17</f>
        <v>0</v>
      </c>
      <c r="AT56" s="334">
        <f ca="1">Cashflow!AZ17</f>
        <v>0</v>
      </c>
      <c r="AU56" s="334">
        <f ca="1">Cashflow!BA17</f>
        <v>0</v>
      </c>
      <c r="AV56" s="334">
        <f ca="1">Cashflow!BB17</f>
        <v>0</v>
      </c>
      <c r="AW56" s="334">
        <f ca="1">Cashflow!BC17</f>
        <v>0</v>
      </c>
      <c r="AX56" s="334">
        <f ca="1">Cashflow!BD17</f>
        <v>0</v>
      </c>
      <c r="AY56" s="334">
        <f ca="1">Cashflow!BE17</f>
        <v>0</v>
      </c>
      <c r="AZ56" s="334">
        <f ca="1">Cashflow!BF17</f>
        <v>0</v>
      </c>
      <c r="BA56" s="334">
        <f ca="1">Cashflow!BG17</f>
        <v>0</v>
      </c>
      <c r="BB56" s="334">
        <f ca="1">Cashflow!BH17</f>
        <v>0</v>
      </c>
      <c r="BC56" s="334">
        <f ca="1">Cashflow!BI17</f>
        <v>0</v>
      </c>
      <c r="BD56" s="334">
        <f ca="1">Cashflow!BJ17</f>
        <v>0</v>
      </c>
      <c r="BE56" s="334">
        <f ca="1">Cashflow!BK17</f>
        <v>0</v>
      </c>
      <c r="BF56" s="334">
        <f ca="1">Cashflow!BL17</f>
        <v>0</v>
      </c>
      <c r="BG56" s="334">
        <f ca="1">Cashflow!BM17</f>
        <v>0</v>
      </c>
      <c r="BH56" s="334">
        <f ca="1">Cashflow!BN17</f>
        <v>0</v>
      </c>
      <c r="BI56" s="334">
        <f ca="1">Cashflow!BO17</f>
        <v>0</v>
      </c>
      <c r="BJ56" s="334">
        <f ca="1">Cashflow!BP17</f>
        <v>0</v>
      </c>
      <c r="BK56" s="334">
        <f ca="1">Cashflow!BQ17</f>
        <v>0</v>
      </c>
      <c r="IR56" s="316"/>
    </row>
    <row r="57" spans="1:252">
      <c r="B57" s="316" t="str">
        <f>Cashflow!E18</f>
        <v xml:space="preserve">Supply Chain Finance principal repayment </v>
      </c>
      <c r="C57" s="292"/>
      <c r="D57" s="334">
        <f ca="1">Cashflow!J18</f>
        <v>0</v>
      </c>
      <c r="E57" s="334">
        <f ca="1">Cashflow!K18</f>
        <v>0</v>
      </c>
      <c r="F57" s="334">
        <f ca="1">Cashflow!L18</f>
        <v>0</v>
      </c>
      <c r="G57" s="334">
        <f ca="1">Cashflow!M18</f>
        <v>0</v>
      </c>
      <c r="H57" s="334">
        <f ca="1">Cashflow!N18</f>
        <v>0</v>
      </c>
      <c r="I57" s="334">
        <f ca="1">Cashflow!O18</f>
        <v>0</v>
      </c>
      <c r="J57" s="334">
        <f ca="1">Cashflow!P18</f>
        <v>0</v>
      </c>
      <c r="K57" s="334">
        <f ca="1">Cashflow!Q18</f>
        <v>0</v>
      </c>
      <c r="L57" s="334">
        <f ca="1">Cashflow!R18</f>
        <v>0</v>
      </c>
      <c r="M57" s="334">
        <f ca="1">Cashflow!S18</f>
        <v>0</v>
      </c>
      <c r="N57" s="334">
        <f ca="1">Cashflow!T18</f>
        <v>0</v>
      </c>
      <c r="O57" s="334">
        <f ca="1">Cashflow!U18</f>
        <v>0</v>
      </c>
      <c r="P57" s="334">
        <f ca="1">Cashflow!V18</f>
        <v>0</v>
      </c>
      <c r="Q57" s="334">
        <f ca="1">Cashflow!W18</f>
        <v>0</v>
      </c>
      <c r="R57" s="334">
        <f ca="1">Cashflow!X18</f>
        <v>0</v>
      </c>
      <c r="S57" s="334">
        <f ca="1">Cashflow!Y18</f>
        <v>0</v>
      </c>
      <c r="T57" s="334">
        <f ca="1">Cashflow!Z18</f>
        <v>0</v>
      </c>
      <c r="U57" s="334">
        <f ca="1">Cashflow!AA18</f>
        <v>0</v>
      </c>
      <c r="V57" s="334">
        <f ca="1">Cashflow!AB18</f>
        <v>0</v>
      </c>
      <c r="W57" s="334">
        <f ca="1">Cashflow!AC18</f>
        <v>0</v>
      </c>
      <c r="X57" s="334">
        <f ca="1">Cashflow!AD18</f>
        <v>0</v>
      </c>
      <c r="Y57" s="334">
        <f ca="1">Cashflow!AE18</f>
        <v>0</v>
      </c>
      <c r="Z57" s="334">
        <f ca="1">Cashflow!AF18</f>
        <v>0</v>
      </c>
      <c r="AA57" s="334">
        <f ca="1">Cashflow!AG18</f>
        <v>0</v>
      </c>
      <c r="AB57" s="334">
        <f ca="1">Cashflow!AH18</f>
        <v>0</v>
      </c>
      <c r="AC57" s="334">
        <f ca="1">Cashflow!AI18</f>
        <v>0</v>
      </c>
      <c r="AD57" s="334">
        <f ca="1">Cashflow!AJ18</f>
        <v>0</v>
      </c>
      <c r="AE57" s="334">
        <f ca="1">Cashflow!AK18</f>
        <v>0</v>
      </c>
      <c r="AF57" s="334">
        <f ca="1">Cashflow!AL18</f>
        <v>0</v>
      </c>
      <c r="AG57" s="334">
        <f ca="1">Cashflow!AM18</f>
        <v>0</v>
      </c>
      <c r="AH57" s="334">
        <f ca="1">Cashflow!AN18</f>
        <v>0</v>
      </c>
      <c r="AI57" s="334">
        <f ca="1">Cashflow!AO18</f>
        <v>0</v>
      </c>
      <c r="AJ57" s="334">
        <f ca="1">Cashflow!AP18</f>
        <v>0</v>
      </c>
      <c r="AK57" s="334">
        <f ca="1">Cashflow!AQ18</f>
        <v>0</v>
      </c>
      <c r="AL57" s="334">
        <f ca="1">Cashflow!AR18</f>
        <v>0</v>
      </c>
      <c r="AM57" s="334">
        <f ca="1">Cashflow!AS18</f>
        <v>0</v>
      </c>
      <c r="AN57" s="334">
        <f ca="1">Cashflow!AT18</f>
        <v>0</v>
      </c>
      <c r="AO57" s="334">
        <f ca="1">Cashflow!AU18</f>
        <v>0</v>
      </c>
      <c r="AP57" s="334">
        <f ca="1">Cashflow!AV18</f>
        <v>0</v>
      </c>
      <c r="AQ57" s="334">
        <f ca="1">Cashflow!AW18</f>
        <v>0</v>
      </c>
      <c r="AR57" s="334">
        <f ca="1">Cashflow!AX18</f>
        <v>0</v>
      </c>
      <c r="AS57" s="334">
        <f ca="1">Cashflow!AY18</f>
        <v>0</v>
      </c>
      <c r="AT57" s="334">
        <f ca="1">Cashflow!AZ18</f>
        <v>0</v>
      </c>
      <c r="AU57" s="334">
        <f ca="1">Cashflow!BA18</f>
        <v>0</v>
      </c>
      <c r="AV57" s="334">
        <f ca="1">Cashflow!BB18</f>
        <v>0</v>
      </c>
      <c r="AW57" s="334">
        <f ca="1">Cashflow!BC18</f>
        <v>0</v>
      </c>
      <c r="AX57" s="334">
        <f ca="1">Cashflow!BD18</f>
        <v>0</v>
      </c>
      <c r="AY57" s="334">
        <f ca="1">Cashflow!BE18</f>
        <v>0</v>
      </c>
      <c r="AZ57" s="334">
        <f ca="1">Cashflow!BF18</f>
        <v>0</v>
      </c>
      <c r="BA57" s="334">
        <f ca="1">Cashflow!BG18</f>
        <v>0</v>
      </c>
      <c r="BB57" s="334">
        <f ca="1">Cashflow!BH18</f>
        <v>0</v>
      </c>
      <c r="BC57" s="334">
        <f ca="1">Cashflow!BI18</f>
        <v>0</v>
      </c>
      <c r="BD57" s="334">
        <f ca="1">Cashflow!BJ18</f>
        <v>0</v>
      </c>
      <c r="BE57" s="334">
        <f ca="1">Cashflow!BK18</f>
        <v>0</v>
      </c>
      <c r="BF57" s="334">
        <f ca="1">Cashflow!BL18</f>
        <v>0</v>
      </c>
      <c r="BG57" s="334">
        <f ca="1">Cashflow!BM18</f>
        <v>0</v>
      </c>
      <c r="BH57" s="334">
        <f ca="1">Cashflow!BN18</f>
        <v>0</v>
      </c>
      <c r="BI57" s="334">
        <f ca="1">Cashflow!BO18</f>
        <v>0</v>
      </c>
      <c r="BJ57" s="334">
        <f ca="1">Cashflow!BP18</f>
        <v>0</v>
      </c>
      <c r="BK57" s="334">
        <f ca="1">Cashflow!BQ18</f>
        <v>0</v>
      </c>
      <c r="IR57" s="316"/>
    </row>
    <row r="58" spans="1:252" s="336" customFormat="1">
      <c r="A58" s="316"/>
      <c r="B58" s="316" t="str">
        <f>Cashflow!E19</f>
        <v>Invoice finance drawdown</v>
      </c>
      <c r="C58" s="292"/>
      <c r="D58" s="334">
        <f ca="1">Cashflow!J19</f>
        <v>0</v>
      </c>
      <c r="E58" s="334">
        <f ca="1">Cashflow!K19</f>
        <v>0</v>
      </c>
      <c r="F58" s="334">
        <f ca="1">Cashflow!L19</f>
        <v>0</v>
      </c>
      <c r="G58" s="334">
        <f ca="1">Cashflow!M19</f>
        <v>0</v>
      </c>
      <c r="H58" s="334">
        <f ca="1">Cashflow!N19</f>
        <v>0</v>
      </c>
      <c r="I58" s="334">
        <f ca="1">Cashflow!O19</f>
        <v>0</v>
      </c>
      <c r="J58" s="334">
        <f ca="1">Cashflow!P19</f>
        <v>0</v>
      </c>
      <c r="K58" s="334">
        <f ca="1">Cashflow!Q19</f>
        <v>0</v>
      </c>
      <c r="L58" s="334">
        <f ca="1">Cashflow!R19</f>
        <v>0</v>
      </c>
      <c r="M58" s="334">
        <f ca="1">Cashflow!S19</f>
        <v>0</v>
      </c>
      <c r="N58" s="334">
        <f ca="1">Cashflow!T19</f>
        <v>0</v>
      </c>
      <c r="O58" s="334">
        <f ca="1">Cashflow!U19</f>
        <v>0</v>
      </c>
      <c r="P58" s="334">
        <f ca="1">Cashflow!V19</f>
        <v>0</v>
      </c>
      <c r="Q58" s="334">
        <f ca="1">Cashflow!W19</f>
        <v>0</v>
      </c>
      <c r="R58" s="334">
        <f ca="1">Cashflow!X19</f>
        <v>0</v>
      </c>
      <c r="S58" s="334">
        <f ca="1">Cashflow!Y19</f>
        <v>0</v>
      </c>
      <c r="T58" s="334">
        <f ca="1">Cashflow!Z19</f>
        <v>0</v>
      </c>
      <c r="U58" s="334">
        <f ca="1">Cashflow!AA19</f>
        <v>0</v>
      </c>
      <c r="V58" s="334">
        <f ca="1">Cashflow!AB19</f>
        <v>0</v>
      </c>
      <c r="W58" s="334">
        <f ca="1">Cashflow!AC19</f>
        <v>0</v>
      </c>
      <c r="X58" s="334">
        <f ca="1">Cashflow!AD19</f>
        <v>0</v>
      </c>
      <c r="Y58" s="334">
        <f ca="1">Cashflow!AE19</f>
        <v>0</v>
      </c>
      <c r="Z58" s="334">
        <f ca="1">Cashflow!AF19</f>
        <v>0</v>
      </c>
      <c r="AA58" s="334">
        <f ca="1">Cashflow!AG19</f>
        <v>0</v>
      </c>
      <c r="AB58" s="334">
        <f ca="1">Cashflow!AH19</f>
        <v>0</v>
      </c>
      <c r="AC58" s="334">
        <f ca="1">Cashflow!AI19</f>
        <v>0</v>
      </c>
      <c r="AD58" s="334">
        <f ca="1">Cashflow!AJ19</f>
        <v>0</v>
      </c>
      <c r="AE58" s="334">
        <f ca="1">Cashflow!AK19</f>
        <v>0</v>
      </c>
      <c r="AF58" s="334">
        <f ca="1">Cashflow!AL19</f>
        <v>0</v>
      </c>
      <c r="AG58" s="334">
        <f ca="1">Cashflow!AM19</f>
        <v>0</v>
      </c>
      <c r="AH58" s="334">
        <f ca="1">Cashflow!AN19</f>
        <v>0</v>
      </c>
      <c r="AI58" s="334">
        <f ca="1">Cashflow!AO19</f>
        <v>0</v>
      </c>
      <c r="AJ58" s="334">
        <f ca="1">Cashflow!AP19</f>
        <v>0</v>
      </c>
      <c r="AK58" s="334">
        <f ca="1">Cashflow!AQ19</f>
        <v>0</v>
      </c>
      <c r="AL58" s="334">
        <f ca="1">Cashflow!AR19</f>
        <v>0</v>
      </c>
      <c r="AM58" s="334">
        <f ca="1">Cashflow!AS19</f>
        <v>0</v>
      </c>
      <c r="AN58" s="334">
        <f ca="1">Cashflow!AT19</f>
        <v>0</v>
      </c>
      <c r="AO58" s="334">
        <f ca="1">Cashflow!AU19</f>
        <v>0</v>
      </c>
      <c r="AP58" s="334">
        <f ca="1">Cashflow!AV19</f>
        <v>0</v>
      </c>
      <c r="AQ58" s="334">
        <f ca="1">Cashflow!AW19</f>
        <v>0</v>
      </c>
      <c r="AR58" s="334">
        <f ca="1">Cashflow!AX19</f>
        <v>0</v>
      </c>
      <c r="AS58" s="334">
        <f ca="1">Cashflow!AY19</f>
        <v>0</v>
      </c>
      <c r="AT58" s="334">
        <f ca="1">Cashflow!AZ19</f>
        <v>0</v>
      </c>
      <c r="AU58" s="334">
        <f ca="1">Cashflow!BA19</f>
        <v>0</v>
      </c>
      <c r="AV58" s="334">
        <f ca="1">Cashflow!BB19</f>
        <v>0</v>
      </c>
      <c r="AW58" s="334">
        <f ca="1">Cashflow!BC19</f>
        <v>0</v>
      </c>
      <c r="AX58" s="334">
        <f ca="1">Cashflow!BD19</f>
        <v>0</v>
      </c>
      <c r="AY58" s="334">
        <f ca="1">Cashflow!BE19</f>
        <v>0</v>
      </c>
      <c r="AZ58" s="334">
        <f ca="1">Cashflow!BF19</f>
        <v>0</v>
      </c>
      <c r="BA58" s="334">
        <f ca="1">Cashflow!BG19</f>
        <v>0</v>
      </c>
      <c r="BB58" s="334">
        <f ca="1">Cashflow!BH19</f>
        <v>0</v>
      </c>
      <c r="BC58" s="334">
        <f ca="1">Cashflow!BI19</f>
        <v>0</v>
      </c>
      <c r="BD58" s="334">
        <f ca="1">Cashflow!BJ19</f>
        <v>0</v>
      </c>
      <c r="BE58" s="334">
        <f ca="1">Cashflow!BK19</f>
        <v>0</v>
      </c>
      <c r="BF58" s="334">
        <f ca="1">Cashflow!BL19</f>
        <v>0</v>
      </c>
      <c r="BG58" s="334">
        <f ca="1">Cashflow!BM19</f>
        <v>0</v>
      </c>
      <c r="BH58" s="334">
        <f ca="1">Cashflow!BN19</f>
        <v>0</v>
      </c>
      <c r="BI58" s="334">
        <f ca="1">Cashflow!BO19</f>
        <v>0</v>
      </c>
      <c r="BJ58" s="334">
        <f ca="1">Cashflow!BP19</f>
        <v>0</v>
      </c>
      <c r="BK58" s="334">
        <f ca="1">Cashflow!BQ19</f>
        <v>0</v>
      </c>
      <c r="BL58" s="316"/>
      <c r="BM58" s="316"/>
      <c r="BN58" s="316"/>
      <c r="BO58" s="316"/>
      <c r="BP58" s="316"/>
      <c r="BQ58" s="316"/>
      <c r="BR58" s="316"/>
      <c r="BS58" s="316"/>
      <c r="BT58" s="316"/>
      <c r="BU58" s="316"/>
      <c r="BV58" s="316"/>
      <c r="BW58" s="316"/>
      <c r="BX58" s="316"/>
      <c r="BY58" s="316"/>
      <c r="BZ58" s="316"/>
      <c r="CA58" s="316"/>
      <c r="CB58" s="316"/>
      <c r="CC58" s="316"/>
      <c r="CD58" s="316"/>
      <c r="CE58" s="316"/>
      <c r="CF58" s="316"/>
      <c r="CG58" s="316"/>
      <c r="CH58" s="316"/>
      <c r="CI58" s="316"/>
      <c r="CJ58" s="316"/>
      <c r="CK58" s="316"/>
      <c r="CL58" s="316"/>
      <c r="CM58" s="316"/>
      <c r="CN58" s="316"/>
      <c r="CO58" s="316"/>
      <c r="CP58" s="316"/>
      <c r="CQ58" s="316"/>
      <c r="CR58" s="316"/>
      <c r="CS58" s="316"/>
      <c r="CT58" s="316"/>
      <c r="CU58" s="316"/>
      <c r="CV58" s="316"/>
      <c r="CW58" s="316"/>
      <c r="CX58" s="316"/>
      <c r="CY58" s="316"/>
      <c r="CZ58" s="316"/>
      <c r="DA58" s="316"/>
      <c r="DB58" s="316"/>
      <c r="DC58" s="316"/>
      <c r="DD58" s="316"/>
      <c r="DE58" s="316"/>
      <c r="DF58" s="316"/>
      <c r="DG58" s="316"/>
      <c r="DH58" s="316"/>
      <c r="DI58" s="316"/>
      <c r="DJ58" s="316"/>
      <c r="DK58" s="316"/>
      <c r="DL58" s="316"/>
      <c r="DM58" s="316"/>
      <c r="DN58" s="316"/>
      <c r="DO58" s="316"/>
      <c r="DP58" s="316"/>
      <c r="DQ58" s="316"/>
      <c r="DR58" s="316"/>
      <c r="DS58" s="316"/>
      <c r="DT58" s="316"/>
      <c r="DU58" s="316"/>
      <c r="DV58" s="316"/>
      <c r="DW58" s="316"/>
      <c r="DX58" s="316"/>
      <c r="DY58" s="316"/>
      <c r="DZ58" s="316"/>
      <c r="EA58" s="316"/>
      <c r="EB58" s="316"/>
      <c r="EC58" s="316"/>
      <c r="ED58" s="316"/>
      <c r="EE58" s="316"/>
      <c r="EF58" s="316"/>
      <c r="EG58" s="316"/>
      <c r="EH58" s="316"/>
      <c r="EI58" s="316"/>
      <c r="EJ58" s="316"/>
      <c r="EK58" s="316"/>
      <c r="EL58" s="316"/>
      <c r="EM58" s="316"/>
      <c r="EN58" s="316"/>
      <c r="EO58" s="316"/>
      <c r="EP58" s="316"/>
      <c r="EQ58" s="316"/>
      <c r="ER58" s="316"/>
      <c r="ES58" s="316"/>
      <c r="ET58" s="316"/>
      <c r="EU58" s="316"/>
      <c r="EV58" s="316"/>
      <c r="EW58" s="316"/>
      <c r="EX58" s="316"/>
      <c r="EY58" s="316"/>
      <c r="EZ58" s="316"/>
      <c r="FA58" s="316"/>
      <c r="FB58" s="316"/>
      <c r="FC58" s="316"/>
      <c r="FD58" s="316"/>
      <c r="FE58" s="316"/>
      <c r="FF58" s="316"/>
      <c r="FG58" s="316"/>
      <c r="FH58" s="316"/>
      <c r="FI58" s="316"/>
      <c r="FJ58" s="316"/>
      <c r="FK58" s="316"/>
      <c r="FL58" s="316"/>
      <c r="FM58" s="316"/>
      <c r="FN58" s="316"/>
      <c r="FO58" s="316"/>
      <c r="FP58" s="316"/>
      <c r="FQ58" s="316"/>
      <c r="FR58" s="316"/>
      <c r="FS58" s="316"/>
      <c r="FT58" s="316"/>
      <c r="FU58" s="316"/>
      <c r="FV58" s="316"/>
      <c r="FW58" s="316"/>
      <c r="FX58" s="316"/>
      <c r="FY58" s="316"/>
      <c r="FZ58" s="316"/>
      <c r="GA58" s="316"/>
      <c r="GB58" s="316"/>
      <c r="GC58" s="316"/>
      <c r="GD58" s="316"/>
      <c r="GE58" s="316"/>
      <c r="GF58" s="316"/>
      <c r="GG58" s="316"/>
      <c r="GH58" s="316"/>
      <c r="GI58" s="316"/>
      <c r="GJ58" s="316"/>
      <c r="GK58" s="316"/>
      <c r="GL58" s="316"/>
      <c r="GM58" s="316"/>
      <c r="GN58" s="316"/>
      <c r="GO58" s="316"/>
      <c r="GP58" s="316"/>
      <c r="GQ58" s="316"/>
      <c r="GR58" s="316"/>
      <c r="GS58" s="316"/>
      <c r="GT58" s="316"/>
      <c r="GU58" s="316"/>
      <c r="GV58" s="316"/>
      <c r="GW58" s="316"/>
      <c r="GX58" s="316"/>
      <c r="GY58" s="316"/>
      <c r="GZ58" s="316"/>
      <c r="HA58" s="316"/>
      <c r="HB58" s="316"/>
      <c r="HC58" s="316"/>
      <c r="HD58" s="316"/>
      <c r="HE58" s="316"/>
      <c r="HF58" s="316"/>
      <c r="HG58" s="316"/>
      <c r="HH58" s="316"/>
      <c r="HI58" s="316"/>
      <c r="HJ58" s="316"/>
      <c r="HK58" s="316"/>
      <c r="HL58" s="316"/>
      <c r="HM58" s="316"/>
      <c r="HN58" s="316"/>
      <c r="HO58" s="316"/>
      <c r="HP58" s="316"/>
      <c r="HQ58" s="316"/>
      <c r="HR58" s="316"/>
      <c r="HS58" s="316"/>
      <c r="HT58" s="316"/>
      <c r="HU58" s="316"/>
      <c r="HV58" s="316"/>
      <c r="HW58" s="316"/>
      <c r="HX58" s="316"/>
      <c r="HY58" s="316"/>
      <c r="HZ58" s="316"/>
      <c r="IA58" s="316"/>
      <c r="IB58" s="316"/>
      <c r="IC58" s="316"/>
      <c r="ID58" s="316"/>
      <c r="IE58" s="316"/>
      <c r="IF58" s="316"/>
      <c r="IG58" s="316"/>
      <c r="IH58" s="316"/>
      <c r="II58" s="316"/>
      <c r="IJ58" s="316"/>
      <c r="IK58" s="316"/>
      <c r="IL58" s="316"/>
      <c r="IM58" s="316"/>
      <c r="IN58" s="316"/>
      <c r="IO58" s="316"/>
      <c r="IP58" s="316"/>
      <c r="IQ58" s="316"/>
      <c r="IR58" s="316"/>
    </row>
    <row r="59" spans="1:252">
      <c r="B59" s="316" t="str">
        <f>Cashflow!E20</f>
        <v xml:space="preserve">Invoice finance principal repayment </v>
      </c>
      <c r="C59" s="292"/>
      <c r="D59" s="334">
        <f ca="1">Cashflow!J20</f>
        <v>0</v>
      </c>
      <c r="E59" s="334">
        <f ca="1">Cashflow!K20</f>
        <v>0</v>
      </c>
      <c r="F59" s="334">
        <f ca="1">Cashflow!L20</f>
        <v>0</v>
      </c>
      <c r="G59" s="334">
        <f ca="1">Cashflow!M20</f>
        <v>0</v>
      </c>
      <c r="H59" s="334">
        <f ca="1">Cashflow!N20</f>
        <v>0</v>
      </c>
      <c r="I59" s="334">
        <f ca="1">Cashflow!O20</f>
        <v>0</v>
      </c>
      <c r="J59" s="334">
        <f ca="1">Cashflow!P20</f>
        <v>0</v>
      </c>
      <c r="K59" s="334">
        <f ca="1">Cashflow!Q20</f>
        <v>0</v>
      </c>
      <c r="L59" s="334">
        <f ca="1">Cashflow!R20</f>
        <v>0</v>
      </c>
      <c r="M59" s="334">
        <f ca="1">Cashflow!S20</f>
        <v>0</v>
      </c>
      <c r="N59" s="334">
        <f ca="1">Cashflow!T20</f>
        <v>0</v>
      </c>
      <c r="O59" s="334">
        <f ca="1">Cashflow!U20</f>
        <v>0</v>
      </c>
      <c r="P59" s="334">
        <f ca="1">Cashflow!V20</f>
        <v>0</v>
      </c>
      <c r="Q59" s="334">
        <f ca="1">Cashflow!W20</f>
        <v>0</v>
      </c>
      <c r="R59" s="334">
        <f ca="1">Cashflow!X20</f>
        <v>0</v>
      </c>
      <c r="S59" s="334">
        <f ca="1">Cashflow!Y20</f>
        <v>0</v>
      </c>
      <c r="T59" s="334">
        <f ca="1">Cashflow!Z20</f>
        <v>0</v>
      </c>
      <c r="U59" s="334">
        <f ca="1">Cashflow!AA20</f>
        <v>0</v>
      </c>
      <c r="V59" s="334">
        <f ca="1">Cashflow!AB20</f>
        <v>0</v>
      </c>
      <c r="W59" s="334">
        <f ca="1">Cashflow!AC20</f>
        <v>0</v>
      </c>
      <c r="X59" s="334">
        <f ca="1">Cashflow!AD20</f>
        <v>0</v>
      </c>
      <c r="Y59" s="334">
        <f ca="1">Cashflow!AE20</f>
        <v>0</v>
      </c>
      <c r="Z59" s="334">
        <f ca="1">Cashflow!AF20</f>
        <v>0</v>
      </c>
      <c r="AA59" s="334">
        <f ca="1">Cashflow!AG20</f>
        <v>0</v>
      </c>
      <c r="AB59" s="334">
        <f ca="1">Cashflow!AH20</f>
        <v>0</v>
      </c>
      <c r="AC59" s="334">
        <f ca="1">Cashflow!AI20</f>
        <v>0</v>
      </c>
      <c r="AD59" s="334">
        <f ca="1">Cashflow!AJ20</f>
        <v>0</v>
      </c>
      <c r="AE59" s="334">
        <f ca="1">Cashflow!AK20</f>
        <v>0</v>
      </c>
      <c r="AF59" s="334">
        <f ca="1">Cashflow!AL20</f>
        <v>0</v>
      </c>
      <c r="AG59" s="334">
        <f ca="1">Cashflow!AM20</f>
        <v>0</v>
      </c>
      <c r="AH59" s="334">
        <f ca="1">Cashflow!AN20</f>
        <v>0</v>
      </c>
      <c r="AI59" s="334">
        <f ca="1">Cashflow!AO20</f>
        <v>0</v>
      </c>
      <c r="AJ59" s="334">
        <f ca="1">Cashflow!AP20</f>
        <v>0</v>
      </c>
      <c r="AK59" s="334">
        <f ca="1">Cashflow!AQ20</f>
        <v>0</v>
      </c>
      <c r="AL59" s="334">
        <f ca="1">Cashflow!AR20</f>
        <v>0</v>
      </c>
      <c r="AM59" s="334">
        <f ca="1">Cashflow!AS20</f>
        <v>0</v>
      </c>
      <c r="AN59" s="334">
        <f ca="1">Cashflow!AT20</f>
        <v>0</v>
      </c>
      <c r="AO59" s="334">
        <f ca="1">Cashflow!AU20</f>
        <v>0</v>
      </c>
      <c r="AP59" s="334">
        <f ca="1">Cashflow!AV20</f>
        <v>0</v>
      </c>
      <c r="AQ59" s="334">
        <f ca="1">Cashflow!AW20</f>
        <v>0</v>
      </c>
      <c r="AR59" s="334">
        <f ca="1">Cashflow!AX20</f>
        <v>0</v>
      </c>
      <c r="AS59" s="334">
        <f ca="1">Cashflow!AY20</f>
        <v>0</v>
      </c>
      <c r="AT59" s="334">
        <f ca="1">Cashflow!AZ20</f>
        <v>0</v>
      </c>
      <c r="AU59" s="334">
        <f ca="1">Cashflow!BA20</f>
        <v>0</v>
      </c>
      <c r="AV59" s="334">
        <f ca="1">Cashflow!BB20</f>
        <v>0</v>
      </c>
      <c r="AW59" s="334">
        <f ca="1">Cashflow!BC20</f>
        <v>0</v>
      </c>
      <c r="AX59" s="334">
        <f ca="1">Cashflow!BD20</f>
        <v>0</v>
      </c>
      <c r="AY59" s="334">
        <f ca="1">Cashflow!BE20</f>
        <v>0</v>
      </c>
      <c r="AZ59" s="334">
        <f ca="1">Cashflow!BF20</f>
        <v>0</v>
      </c>
      <c r="BA59" s="334">
        <f ca="1">Cashflow!BG20</f>
        <v>0</v>
      </c>
      <c r="BB59" s="334">
        <f ca="1">Cashflow!BH20</f>
        <v>0</v>
      </c>
      <c r="BC59" s="334">
        <f ca="1">Cashflow!BI20</f>
        <v>0</v>
      </c>
      <c r="BD59" s="334">
        <f ca="1">Cashflow!BJ20</f>
        <v>0</v>
      </c>
      <c r="BE59" s="334">
        <f ca="1">Cashflow!BK20</f>
        <v>0</v>
      </c>
      <c r="BF59" s="334">
        <f ca="1">Cashflow!BL20</f>
        <v>0</v>
      </c>
      <c r="BG59" s="334">
        <f ca="1">Cashflow!BM20</f>
        <v>0</v>
      </c>
      <c r="BH59" s="334">
        <f ca="1">Cashflow!BN20</f>
        <v>0</v>
      </c>
      <c r="BI59" s="334">
        <f ca="1">Cashflow!BO20</f>
        <v>0</v>
      </c>
      <c r="BJ59" s="334">
        <f ca="1">Cashflow!BP20</f>
        <v>0</v>
      </c>
      <c r="BK59" s="334">
        <f ca="1">Cashflow!BQ20</f>
        <v>0</v>
      </c>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c r="HI59" s="292"/>
      <c r="HJ59" s="292"/>
      <c r="HK59" s="292"/>
      <c r="HL59" s="292"/>
      <c r="HM59" s="292"/>
      <c r="HN59" s="292"/>
      <c r="HO59" s="292"/>
      <c r="HP59" s="292"/>
      <c r="HQ59" s="292"/>
      <c r="HR59" s="292"/>
      <c r="HS59" s="292"/>
      <c r="HT59" s="292"/>
      <c r="HU59" s="292"/>
      <c r="HV59" s="292"/>
      <c r="HW59" s="292"/>
      <c r="HX59" s="292"/>
      <c r="HY59" s="292"/>
      <c r="HZ59" s="292"/>
      <c r="IA59" s="292"/>
      <c r="IB59" s="292"/>
      <c r="IC59" s="292"/>
      <c r="ID59" s="292"/>
      <c r="IE59" s="292"/>
      <c r="IF59" s="292"/>
      <c r="IG59" s="292"/>
      <c r="IH59" s="292"/>
      <c r="II59" s="292"/>
      <c r="IJ59" s="292"/>
      <c r="IK59" s="292"/>
      <c r="IL59" s="292"/>
      <c r="IM59" s="292"/>
      <c r="IN59" s="292"/>
      <c r="IO59" s="292"/>
      <c r="IP59" s="292"/>
      <c r="IQ59" s="292"/>
      <c r="IR59" s="292"/>
    </row>
    <row r="60" spans="1:252">
      <c r="B60" s="316" t="str">
        <f>Cashflow!E21</f>
        <v>Asset Finance drawdown</v>
      </c>
      <c r="C60" s="292"/>
      <c r="D60" s="334">
        <f ca="1">Cashflow!J21</f>
        <v>0</v>
      </c>
      <c r="E60" s="334">
        <f ca="1">Cashflow!K21</f>
        <v>0</v>
      </c>
      <c r="F60" s="334">
        <f ca="1">Cashflow!L21</f>
        <v>0</v>
      </c>
      <c r="G60" s="334">
        <f ca="1">Cashflow!M21</f>
        <v>0</v>
      </c>
      <c r="H60" s="334">
        <f ca="1">Cashflow!N21</f>
        <v>0</v>
      </c>
      <c r="I60" s="334">
        <f ca="1">Cashflow!O21</f>
        <v>0</v>
      </c>
      <c r="J60" s="334">
        <f ca="1">Cashflow!P21</f>
        <v>0</v>
      </c>
      <c r="K60" s="334">
        <f ca="1">Cashflow!Q21</f>
        <v>0</v>
      </c>
      <c r="L60" s="334">
        <f ca="1">Cashflow!R21</f>
        <v>0</v>
      </c>
      <c r="M60" s="334">
        <f ca="1">Cashflow!S21</f>
        <v>0</v>
      </c>
      <c r="N60" s="334">
        <f ca="1">Cashflow!T21</f>
        <v>0</v>
      </c>
      <c r="O60" s="334">
        <f ca="1">Cashflow!U21</f>
        <v>0</v>
      </c>
      <c r="P60" s="334">
        <f ca="1">Cashflow!V21</f>
        <v>0</v>
      </c>
      <c r="Q60" s="334">
        <f ca="1">Cashflow!W21</f>
        <v>0</v>
      </c>
      <c r="R60" s="334">
        <f ca="1">Cashflow!X21</f>
        <v>0</v>
      </c>
      <c r="S60" s="334">
        <f ca="1">Cashflow!Y21</f>
        <v>0</v>
      </c>
      <c r="T60" s="334">
        <f ca="1">Cashflow!Z21</f>
        <v>0</v>
      </c>
      <c r="U60" s="334">
        <f ca="1">Cashflow!AA21</f>
        <v>0</v>
      </c>
      <c r="V60" s="334">
        <f ca="1">Cashflow!AB21</f>
        <v>0</v>
      </c>
      <c r="W60" s="334">
        <f ca="1">Cashflow!AC21</f>
        <v>0</v>
      </c>
      <c r="X60" s="334">
        <f ca="1">Cashflow!AD21</f>
        <v>0</v>
      </c>
      <c r="Y60" s="334">
        <f ca="1">Cashflow!AE21</f>
        <v>0</v>
      </c>
      <c r="Z60" s="334">
        <f ca="1">Cashflow!AF21</f>
        <v>0</v>
      </c>
      <c r="AA60" s="334">
        <f ca="1">Cashflow!AG21</f>
        <v>0</v>
      </c>
      <c r="AB60" s="334">
        <f ca="1">Cashflow!AH21</f>
        <v>0</v>
      </c>
      <c r="AC60" s="334">
        <f ca="1">Cashflow!AI21</f>
        <v>0</v>
      </c>
      <c r="AD60" s="334">
        <f ca="1">Cashflow!AJ21</f>
        <v>0</v>
      </c>
      <c r="AE60" s="334">
        <f ca="1">Cashflow!AK21</f>
        <v>0</v>
      </c>
      <c r="AF60" s="334">
        <f ca="1">Cashflow!AL21</f>
        <v>0</v>
      </c>
      <c r="AG60" s="334">
        <f ca="1">Cashflow!AM21</f>
        <v>0</v>
      </c>
      <c r="AH60" s="334">
        <f ca="1">Cashflow!AN21</f>
        <v>0</v>
      </c>
      <c r="AI60" s="334">
        <f ca="1">Cashflow!AO21</f>
        <v>0</v>
      </c>
      <c r="AJ60" s="334">
        <f ca="1">Cashflow!AP21</f>
        <v>0</v>
      </c>
      <c r="AK60" s="334">
        <f ca="1">Cashflow!AQ21</f>
        <v>0</v>
      </c>
      <c r="AL60" s="334">
        <f ca="1">Cashflow!AR21</f>
        <v>0</v>
      </c>
      <c r="AM60" s="334">
        <f ca="1">Cashflow!AS21</f>
        <v>0</v>
      </c>
      <c r="AN60" s="334">
        <f ca="1">Cashflow!AT21</f>
        <v>0</v>
      </c>
      <c r="AO60" s="334">
        <f ca="1">Cashflow!AU21</f>
        <v>0</v>
      </c>
      <c r="AP60" s="334">
        <f ca="1">Cashflow!AV21</f>
        <v>0</v>
      </c>
      <c r="AQ60" s="334">
        <f ca="1">Cashflow!AW21</f>
        <v>0</v>
      </c>
      <c r="AR60" s="334">
        <f ca="1">Cashflow!AX21</f>
        <v>0</v>
      </c>
      <c r="AS60" s="334">
        <f ca="1">Cashflow!AY21</f>
        <v>0</v>
      </c>
      <c r="AT60" s="334">
        <f ca="1">Cashflow!AZ21</f>
        <v>0</v>
      </c>
      <c r="AU60" s="334">
        <f ca="1">Cashflow!BA21</f>
        <v>0</v>
      </c>
      <c r="AV60" s="334">
        <f ca="1">Cashflow!BB21</f>
        <v>0</v>
      </c>
      <c r="AW60" s="334">
        <f ca="1">Cashflow!BC21</f>
        <v>0</v>
      </c>
      <c r="AX60" s="334">
        <f ca="1">Cashflow!BD21</f>
        <v>0</v>
      </c>
      <c r="AY60" s="334">
        <f ca="1">Cashflow!BE21</f>
        <v>0</v>
      </c>
      <c r="AZ60" s="334">
        <f ca="1">Cashflow!BF21</f>
        <v>0</v>
      </c>
      <c r="BA60" s="334">
        <f ca="1">Cashflow!BG21</f>
        <v>0</v>
      </c>
      <c r="BB60" s="334">
        <f ca="1">Cashflow!BH21</f>
        <v>0</v>
      </c>
      <c r="BC60" s="334">
        <f ca="1">Cashflow!BI21</f>
        <v>0</v>
      </c>
      <c r="BD60" s="334">
        <f ca="1">Cashflow!BJ21</f>
        <v>0</v>
      </c>
      <c r="BE60" s="334">
        <f ca="1">Cashflow!BK21</f>
        <v>0</v>
      </c>
      <c r="BF60" s="334">
        <f ca="1">Cashflow!BL21</f>
        <v>0</v>
      </c>
      <c r="BG60" s="334">
        <f ca="1">Cashflow!BM21</f>
        <v>0</v>
      </c>
      <c r="BH60" s="334">
        <f ca="1">Cashflow!BN21</f>
        <v>0</v>
      </c>
      <c r="BI60" s="334">
        <f ca="1">Cashflow!BO21</f>
        <v>0</v>
      </c>
      <c r="BJ60" s="334">
        <f ca="1">Cashflow!BP21</f>
        <v>0</v>
      </c>
      <c r="BK60" s="334">
        <f ca="1">Cashflow!BQ21</f>
        <v>0</v>
      </c>
      <c r="BS60" s="327"/>
      <c r="BT60" s="327"/>
      <c r="BU60" s="327"/>
      <c r="BV60" s="327"/>
      <c r="BW60" s="327"/>
      <c r="BX60" s="327"/>
      <c r="BY60" s="327"/>
      <c r="BZ60" s="327"/>
      <c r="CA60" s="327"/>
      <c r="CB60" s="327"/>
      <c r="CC60" s="327"/>
      <c r="CD60" s="327"/>
      <c r="CE60" s="327"/>
      <c r="CF60" s="327"/>
      <c r="CG60" s="327"/>
      <c r="CH60" s="327"/>
      <c r="CI60" s="327"/>
      <c r="CJ60" s="327"/>
      <c r="CK60" s="327"/>
      <c r="CL60" s="327"/>
      <c r="CM60" s="327"/>
      <c r="CN60" s="327"/>
      <c r="CO60" s="327"/>
      <c r="CP60" s="327"/>
      <c r="CQ60" s="327"/>
      <c r="CR60" s="327"/>
      <c r="CS60" s="327"/>
      <c r="CT60" s="327"/>
      <c r="CU60" s="327"/>
      <c r="CV60" s="327"/>
      <c r="CW60" s="327"/>
      <c r="CX60" s="327"/>
      <c r="CY60" s="327"/>
      <c r="CZ60" s="327"/>
      <c r="DA60" s="327"/>
      <c r="DB60" s="327"/>
      <c r="DC60" s="327"/>
      <c r="DD60" s="327"/>
      <c r="DE60" s="327"/>
      <c r="DF60" s="327"/>
      <c r="DG60" s="327"/>
      <c r="DH60" s="327"/>
      <c r="DI60" s="327"/>
      <c r="DJ60" s="327"/>
      <c r="DK60" s="327"/>
      <c r="DL60" s="327"/>
      <c r="DM60" s="327"/>
      <c r="DN60" s="327"/>
      <c r="DO60" s="327"/>
      <c r="DP60" s="327"/>
      <c r="DQ60" s="327"/>
      <c r="DR60" s="327"/>
      <c r="DS60" s="327"/>
      <c r="DT60" s="327"/>
      <c r="DU60" s="327"/>
      <c r="DV60" s="327"/>
      <c r="DW60" s="327"/>
      <c r="DX60" s="327"/>
      <c r="DY60" s="327"/>
      <c r="DZ60" s="327"/>
      <c r="EA60" s="327"/>
      <c r="EB60" s="327"/>
      <c r="EC60" s="327"/>
      <c r="ED60" s="327"/>
      <c r="EE60" s="327"/>
      <c r="EF60" s="327"/>
      <c r="EG60" s="327"/>
      <c r="EH60" s="327"/>
      <c r="EI60" s="327"/>
      <c r="EJ60" s="327"/>
      <c r="EK60" s="327"/>
      <c r="EL60" s="327"/>
      <c r="EM60" s="327"/>
      <c r="EN60" s="327"/>
      <c r="EO60" s="327"/>
      <c r="EP60" s="327"/>
      <c r="EQ60" s="327"/>
      <c r="ER60" s="327"/>
      <c r="ES60" s="327"/>
      <c r="ET60" s="327"/>
      <c r="EU60" s="327"/>
      <c r="EV60" s="327"/>
      <c r="EW60" s="327"/>
      <c r="EX60" s="327"/>
      <c r="EY60" s="327"/>
      <c r="EZ60" s="327"/>
      <c r="FA60" s="327"/>
      <c r="FB60" s="327"/>
      <c r="FC60" s="327"/>
      <c r="FD60" s="327"/>
      <c r="FE60" s="327"/>
      <c r="FF60" s="327"/>
      <c r="FG60" s="327"/>
      <c r="FH60" s="327"/>
      <c r="FI60" s="327"/>
      <c r="FJ60" s="327"/>
      <c r="FK60" s="327"/>
      <c r="FL60" s="327"/>
      <c r="FM60" s="327"/>
      <c r="FN60" s="327"/>
      <c r="FO60" s="327"/>
      <c r="FP60" s="327"/>
      <c r="FQ60" s="327"/>
      <c r="FR60" s="327"/>
      <c r="FS60" s="327"/>
      <c r="FT60" s="327"/>
      <c r="FU60" s="327"/>
      <c r="FV60" s="327"/>
      <c r="FW60" s="327"/>
      <c r="FX60" s="327"/>
      <c r="FY60" s="327"/>
      <c r="FZ60" s="327"/>
      <c r="GA60" s="327"/>
      <c r="GB60" s="327"/>
      <c r="GC60" s="327"/>
      <c r="GD60" s="327"/>
      <c r="GE60" s="327"/>
      <c r="GF60" s="327"/>
      <c r="GG60" s="327"/>
      <c r="GH60" s="327"/>
      <c r="GI60" s="327"/>
      <c r="GJ60" s="327"/>
      <c r="GK60" s="327"/>
      <c r="GL60" s="327"/>
      <c r="GM60" s="327"/>
      <c r="GN60" s="327"/>
      <c r="GO60" s="327"/>
      <c r="GP60" s="327"/>
      <c r="GQ60" s="327"/>
      <c r="GR60" s="327"/>
      <c r="GS60" s="327"/>
      <c r="GT60" s="327"/>
      <c r="GU60" s="327"/>
      <c r="GV60" s="327"/>
      <c r="GW60" s="327"/>
      <c r="GX60" s="327"/>
      <c r="GY60" s="327"/>
      <c r="GZ60" s="327"/>
      <c r="HA60" s="327"/>
      <c r="HB60" s="327"/>
      <c r="HC60" s="327"/>
      <c r="HD60" s="327"/>
      <c r="HE60" s="327"/>
      <c r="HF60" s="327"/>
      <c r="HG60" s="327"/>
      <c r="HH60" s="327"/>
      <c r="HI60" s="327"/>
      <c r="HJ60" s="327"/>
      <c r="HK60" s="327"/>
      <c r="HL60" s="327"/>
      <c r="HM60" s="327"/>
      <c r="HN60" s="327"/>
      <c r="HO60" s="327"/>
      <c r="HP60" s="327"/>
      <c r="HQ60" s="327"/>
      <c r="HR60" s="327"/>
      <c r="HS60" s="327"/>
      <c r="HT60" s="327"/>
      <c r="HU60" s="327"/>
      <c r="HV60" s="327"/>
      <c r="HW60" s="327"/>
      <c r="HX60" s="327"/>
      <c r="HY60" s="327"/>
      <c r="HZ60" s="327"/>
      <c r="IA60" s="327"/>
      <c r="IB60" s="327"/>
      <c r="IC60" s="327"/>
      <c r="ID60" s="327"/>
      <c r="IE60" s="327"/>
      <c r="IF60" s="327"/>
      <c r="IG60" s="327"/>
      <c r="IH60" s="327"/>
      <c r="II60" s="327"/>
      <c r="IJ60" s="327"/>
      <c r="IK60" s="327"/>
      <c r="IL60" s="327"/>
      <c r="IM60" s="327"/>
      <c r="IN60" s="327"/>
      <c r="IO60" s="327"/>
      <c r="IP60" s="327"/>
      <c r="IQ60" s="327"/>
      <c r="IR60" s="327"/>
    </row>
    <row r="61" spans="1:252" s="336" customFormat="1">
      <c r="A61" s="329"/>
      <c r="B61" s="316" t="str">
        <f>Cashflow!E22</f>
        <v xml:space="preserve">Asset Finance principal repayment </v>
      </c>
      <c r="C61" s="292"/>
      <c r="D61" s="334">
        <f>Cashflow!J22</f>
        <v>0</v>
      </c>
      <c r="E61" s="334">
        <f ca="1">Cashflow!K22</f>
        <v>0</v>
      </c>
      <c r="F61" s="334">
        <f ca="1">Cashflow!L22</f>
        <v>0</v>
      </c>
      <c r="G61" s="334">
        <f ca="1">Cashflow!M22</f>
        <v>0</v>
      </c>
      <c r="H61" s="334">
        <f ca="1">Cashflow!N22</f>
        <v>0</v>
      </c>
      <c r="I61" s="334">
        <f ca="1">Cashflow!O22</f>
        <v>0</v>
      </c>
      <c r="J61" s="334">
        <f ca="1">Cashflow!P22</f>
        <v>0</v>
      </c>
      <c r="K61" s="334">
        <f ca="1">Cashflow!Q22</f>
        <v>0</v>
      </c>
      <c r="L61" s="334">
        <f ca="1">Cashflow!R22</f>
        <v>0</v>
      </c>
      <c r="M61" s="334">
        <f ca="1">Cashflow!S22</f>
        <v>0</v>
      </c>
      <c r="N61" s="334">
        <f ca="1">Cashflow!T22</f>
        <v>0</v>
      </c>
      <c r="O61" s="334">
        <f ca="1">Cashflow!U22</f>
        <v>0</v>
      </c>
      <c r="P61" s="334">
        <f ca="1">Cashflow!V22</f>
        <v>0</v>
      </c>
      <c r="Q61" s="334">
        <f ca="1">Cashflow!W22</f>
        <v>0</v>
      </c>
      <c r="R61" s="334">
        <f ca="1">Cashflow!X22</f>
        <v>0</v>
      </c>
      <c r="S61" s="334">
        <f ca="1">Cashflow!Y22</f>
        <v>0</v>
      </c>
      <c r="T61" s="334">
        <f ca="1">Cashflow!Z22</f>
        <v>0</v>
      </c>
      <c r="U61" s="334">
        <f ca="1">Cashflow!AA22</f>
        <v>0</v>
      </c>
      <c r="V61" s="334">
        <f ca="1">Cashflow!AB22</f>
        <v>0</v>
      </c>
      <c r="W61" s="334">
        <f ca="1">Cashflow!AC22</f>
        <v>0</v>
      </c>
      <c r="X61" s="334">
        <f ca="1">Cashflow!AD22</f>
        <v>0</v>
      </c>
      <c r="Y61" s="334">
        <f ca="1">Cashflow!AE22</f>
        <v>0</v>
      </c>
      <c r="Z61" s="334">
        <f ca="1">Cashflow!AF22</f>
        <v>0</v>
      </c>
      <c r="AA61" s="334">
        <f ca="1">Cashflow!AG22</f>
        <v>0</v>
      </c>
      <c r="AB61" s="334">
        <f ca="1">Cashflow!AH22</f>
        <v>0</v>
      </c>
      <c r="AC61" s="334">
        <f ca="1">Cashflow!AI22</f>
        <v>0</v>
      </c>
      <c r="AD61" s="334">
        <f ca="1">Cashflow!AJ22</f>
        <v>0</v>
      </c>
      <c r="AE61" s="334">
        <f ca="1">Cashflow!AK22</f>
        <v>0</v>
      </c>
      <c r="AF61" s="334">
        <f ca="1">Cashflow!AL22</f>
        <v>0</v>
      </c>
      <c r="AG61" s="334">
        <f ca="1">Cashflow!AM22</f>
        <v>0</v>
      </c>
      <c r="AH61" s="334">
        <f ca="1">Cashflow!AN22</f>
        <v>0</v>
      </c>
      <c r="AI61" s="334">
        <f ca="1">Cashflow!AO22</f>
        <v>0</v>
      </c>
      <c r="AJ61" s="334">
        <f ca="1">Cashflow!AP22</f>
        <v>0</v>
      </c>
      <c r="AK61" s="334">
        <f ca="1">Cashflow!AQ22</f>
        <v>0</v>
      </c>
      <c r="AL61" s="334">
        <f ca="1">Cashflow!AR22</f>
        <v>0</v>
      </c>
      <c r="AM61" s="334">
        <f ca="1">Cashflow!AS22</f>
        <v>0</v>
      </c>
      <c r="AN61" s="334">
        <f ca="1">Cashflow!AT22</f>
        <v>0</v>
      </c>
      <c r="AO61" s="334">
        <f ca="1">Cashflow!AU22</f>
        <v>0</v>
      </c>
      <c r="AP61" s="334">
        <f ca="1">Cashflow!AV22</f>
        <v>0</v>
      </c>
      <c r="AQ61" s="334">
        <f ca="1">Cashflow!AW22</f>
        <v>0</v>
      </c>
      <c r="AR61" s="334">
        <f ca="1">Cashflow!AX22</f>
        <v>0</v>
      </c>
      <c r="AS61" s="334">
        <f ca="1">Cashflow!AY22</f>
        <v>0</v>
      </c>
      <c r="AT61" s="334">
        <f ca="1">Cashflow!AZ22</f>
        <v>0</v>
      </c>
      <c r="AU61" s="334">
        <f ca="1">Cashflow!BA22</f>
        <v>0</v>
      </c>
      <c r="AV61" s="334">
        <f ca="1">Cashflow!BB22</f>
        <v>0</v>
      </c>
      <c r="AW61" s="334">
        <f ca="1">Cashflow!BC22</f>
        <v>0</v>
      </c>
      <c r="AX61" s="334">
        <f ca="1">Cashflow!BD22</f>
        <v>0</v>
      </c>
      <c r="AY61" s="334">
        <f ca="1">Cashflow!BE22</f>
        <v>0</v>
      </c>
      <c r="AZ61" s="334">
        <f ca="1">Cashflow!BF22</f>
        <v>0</v>
      </c>
      <c r="BA61" s="334">
        <f ca="1">Cashflow!BG22</f>
        <v>0</v>
      </c>
      <c r="BB61" s="334">
        <f ca="1">Cashflow!BH22</f>
        <v>0</v>
      </c>
      <c r="BC61" s="334">
        <f ca="1">Cashflow!BI22</f>
        <v>0</v>
      </c>
      <c r="BD61" s="334">
        <f ca="1">Cashflow!BJ22</f>
        <v>0</v>
      </c>
      <c r="BE61" s="334">
        <f ca="1">Cashflow!BK22</f>
        <v>0</v>
      </c>
      <c r="BF61" s="334">
        <f ca="1">Cashflow!BL22</f>
        <v>0</v>
      </c>
      <c r="BG61" s="334">
        <f ca="1">Cashflow!BM22</f>
        <v>0</v>
      </c>
      <c r="BH61" s="334">
        <f ca="1">Cashflow!BN22</f>
        <v>0</v>
      </c>
      <c r="BI61" s="334">
        <f ca="1">Cashflow!BO22</f>
        <v>0</v>
      </c>
      <c r="BJ61" s="334">
        <f ca="1">Cashflow!BP22</f>
        <v>0</v>
      </c>
      <c r="BK61" s="334">
        <f ca="1">Cashflow!BQ22</f>
        <v>0</v>
      </c>
      <c r="BL61" s="329"/>
      <c r="BM61" s="329"/>
      <c r="BN61" s="329"/>
      <c r="BO61" s="329"/>
      <c r="BP61" s="329"/>
      <c r="BQ61" s="329"/>
      <c r="BR61" s="329"/>
      <c r="BS61" s="329"/>
      <c r="BT61" s="329"/>
      <c r="BU61" s="329"/>
      <c r="BV61" s="329"/>
      <c r="BW61" s="329"/>
      <c r="BX61" s="329"/>
      <c r="BY61" s="329"/>
      <c r="BZ61" s="329"/>
      <c r="CA61" s="329"/>
      <c r="CB61" s="329"/>
      <c r="CC61" s="329"/>
      <c r="CD61" s="329"/>
      <c r="CE61" s="329"/>
      <c r="CF61" s="329"/>
      <c r="CG61" s="329"/>
      <c r="CH61" s="329"/>
      <c r="CI61" s="329"/>
      <c r="CJ61" s="329"/>
      <c r="CK61" s="329"/>
      <c r="CL61" s="329"/>
      <c r="CM61" s="329"/>
      <c r="CN61" s="329"/>
      <c r="CO61" s="329"/>
      <c r="CP61" s="329"/>
      <c r="CQ61" s="329"/>
      <c r="CR61" s="329"/>
      <c r="CS61" s="329"/>
      <c r="CT61" s="329"/>
      <c r="CU61" s="329"/>
      <c r="CV61" s="329"/>
      <c r="CW61" s="329"/>
      <c r="CX61" s="329"/>
      <c r="CY61" s="329"/>
      <c r="CZ61" s="329"/>
      <c r="DA61" s="329"/>
      <c r="DB61" s="329"/>
      <c r="DC61" s="329"/>
      <c r="DD61" s="329"/>
      <c r="DE61" s="329"/>
      <c r="DF61" s="329"/>
      <c r="DG61" s="329"/>
      <c r="DH61" s="329"/>
      <c r="DI61" s="329"/>
      <c r="DJ61" s="329"/>
      <c r="DK61" s="329"/>
      <c r="DL61" s="329"/>
      <c r="DM61" s="329"/>
      <c r="DN61" s="329"/>
      <c r="DO61" s="329"/>
      <c r="DP61" s="329"/>
      <c r="DQ61" s="329"/>
      <c r="DR61" s="329"/>
      <c r="DS61" s="329"/>
      <c r="DT61" s="329"/>
      <c r="DU61" s="329"/>
      <c r="DV61" s="329"/>
      <c r="DW61" s="329"/>
      <c r="DX61" s="329"/>
      <c r="DY61" s="329"/>
      <c r="DZ61" s="329"/>
      <c r="EA61" s="329"/>
      <c r="EB61" s="329"/>
      <c r="EC61" s="329"/>
      <c r="ED61" s="329"/>
      <c r="EE61" s="329"/>
      <c r="EF61" s="329"/>
      <c r="EG61" s="329"/>
      <c r="EH61" s="329"/>
      <c r="EI61" s="329"/>
      <c r="EJ61" s="329"/>
      <c r="EK61" s="329"/>
      <c r="EL61" s="329"/>
      <c r="EM61" s="329"/>
      <c r="EN61" s="329"/>
      <c r="EO61" s="329"/>
      <c r="EP61" s="329"/>
      <c r="EQ61" s="329"/>
      <c r="ER61" s="329"/>
      <c r="ES61" s="329"/>
      <c r="ET61" s="329"/>
      <c r="EU61" s="329"/>
      <c r="EV61" s="329"/>
      <c r="EW61" s="329"/>
      <c r="EX61" s="329"/>
      <c r="EY61" s="329"/>
      <c r="EZ61" s="329"/>
      <c r="FA61" s="329"/>
      <c r="FB61" s="329"/>
      <c r="FC61" s="329"/>
      <c r="FD61" s="329"/>
      <c r="FE61" s="329"/>
      <c r="FF61" s="329"/>
      <c r="FG61" s="329"/>
      <c r="FH61" s="329"/>
      <c r="FI61" s="329"/>
      <c r="FJ61" s="329"/>
      <c r="FK61" s="329"/>
      <c r="FL61" s="329"/>
      <c r="FM61" s="329"/>
      <c r="FN61" s="329"/>
      <c r="FO61" s="329"/>
      <c r="FP61" s="329"/>
      <c r="FQ61" s="329"/>
      <c r="FR61" s="329"/>
      <c r="FS61" s="329"/>
      <c r="FT61" s="329"/>
      <c r="FU61" s="329"/>
      <c r="FV61" s="329"/>
      <c r="FW61" s="329"/>
      <c r="FX61" s="329"/>
      <c r="FY61" s="329"/>
      <c r="FZ61" s="329"/>
      <c r="GA61" s="329"/>
      <c r="GB61" s="329"/>
      <c r="GC61" s="329"/>
      <c r="GD61" s="329"/>
      <c r="GE61" s="329"/>
      <c r="GF61" s="329"/>
      <c r="GG61" s="329"/>
      <c r="GH61" s="329"/>
      <c r="GI61" s="329"/>
      <c r="GJ61" s="329"/>
      <c r="GK61" s="329"/>
      <c r="GL61" s="329"/>
      <c r="GM61" s="329"/>
      <c r="GN61" s="329"/>
      <c r="GO61" s="329"/>
      <c r="GP61" s="329"/>
      <c r="GQ61" s="329"/>
      <c r="GR61" s="329"/>
      <c r="GS61" s="329"/>
      <c r="GT61" s="329"/>
      <c r="GU61" s="329"/>
      <c r="GV61" s="329"/>
      <c r="GW61" s="329"/>
      <c r="GX61" s="329"/>
      <c r="GY61" s="329"/>
      <c r="GZ61" s="329"/>
      <c r="HA61" s="329"/>
      <c r="HB61" s="329"/>
      <c r="HC61" s="329"/>
      <c r="HD61" s="329"/>
      <c r="HE61" s="329"/>
      <c r="HF61" s="329"/>
      <c r="HG61" s="329"/>
      <c r="HH61" s="329"/>
      <c r="HI61" s="329"/>
      <c r="HJ61" s="329"/>
      <c r="HK61" s="329"/>
      <c r="HL61" s="329"/>
      <c r="HM61" s="329"/>
      <c r="HN61" s="329"/>
      <c r="HO61" s="329"/>
      <c r="HP61" s="329"/>
      <c r="HQ61" s="329"/>
      <c r="HR61" s="329"/>
      <c r="HS61" s="329"/>
      <c r="HT61" s="329"/>
      <c r="HU61" s="329"/>
      <c r="HV61" s="329"/>
      <c r="HW61" s="329"/>
      <c r="HX61" s="329"/>
      <c r="HY61" s="329"/>
      <c r="HZ61" s="329"/>
      <c r="IA61" s="329"/>
      <c r="IB61" s="329"/>
      <c r="IC61" s="329"/>
      <c r="ID61" s="329"/>
      <c r="IE61" s="329"/>
      <c r="IF61" s="329"/>
      <c r="IG61" s="329"/>
      <c r="IH61" s="329"/>
      <c r="II61" s="329"/>
      <c r="IJ61" s="329"/>
      <c r="IK61" s="329"/>
      <c r="IL61" s="329"/>
      <c r="IM61" s="329"/>
      <c r="IN61" s="329"/>
      <c r="IO61" s="329"/>
      <c r="IP61" s="329"/>
      <c r="IQ61" s="329"/>
      <c r="IR61" s="329"/>
    </row>
    <row r="62" spans="1:252">
      <c r="B62" s="316" t="str">
        <f>Cashflow!E23</f>
        <v xml:space="preserve">Supply Chain Finance interest paid </v>
      </c>
      <c r="C62" s="292"/>
      <c r="D62" s="334">
        <f>Cashflow!J23</f>
        <v>0</v>
      </c>
      <c r="E62" s="334">
        <f ca="1">Cashflow!K23</f>
        <v>0</v>
      </c>
      <c r="F62" s="334">
        <f ca="1">Cashflow!L23</f>
        <v>0</v>
      </c>
      <c r="G62" s="334">
        <f ca="1">Cashflow!M23</f>
        <v>0</v>
      </c>
      <c r="H62" s="334">
        <f ca="1">Cashflow!N23</f>
        <v>0</v>
      </c>
      <c r="I62" s="334">
        <f ca="1">Cashflow!O23</f>
        <v>0</v>
      </c>
      <c r="J62" s="334">
        <f ca="1">Cashflow!P23</f>
        <v>0</v>
      </c>
      <c r="K62" s="334">
        <f ca="1">Cashflow!Q23</f>
        <v>0</v>
      </c>
      <c r="L62" s="334">
        <f ca="1">Cashflow!R23</f>
        <v>0</v>
      </c>
      <c r="M62" s="334">
        <f ca="1">Cashflow!S23</f>
        <v>0</v>
      </c>
      <c r="N62" s="334">
        <f ca="1">Cashflow!T23</f>
        <v>0</v>
      </c>
      <c r="O62" s="334">
        <f ca="1">Cashflow!U23</f>
        <v>0</v>
      </c>
      <c r="P62" s="334">
        <f ca="1">Cashflow!V23</f>
        <v>0</v>
      </c>
      <c r="Q62" s="334">
        <f ca="1">Cashflow!W23</f>
        <v>0</v>
      </c>
      <c r="R62" s="334">
        <f ca="1">Cashflow!X23</f>
        <v>0</v>
      </c>
      <c r="S62" s="334">
        <f ca="1">Cashflow!Y23</f>
        <v>0</v>
      </c>
      <c r="T62" s="334">
        <f ca="1">Cashflow!Z23</f>
        <v>0</v>
      </c>
      <c r="U62" s="334">
        <f ca="1">Cashflow!AA23</f>
        <v>0</v>
      </c>
      <c r="V62" s="334">
        <f ca="1">Cashflow!AB23</f>
        <v>0</v>
      </c>
      <c r="W62" s="334">
        <f ca="1">Cashflow!AC23</f>
        <v>0</v>
      </c>
      <c r="X62" s="334">
        <f ca="1">Cashflow!AD23</f>
        <v>0</v>
      </c>
      <c r="Y62" s="334">
        <f ca="1">Cashflow!AE23</f>
        <v>0</v>
      </c>
      <c r="Z62" s="334">
        <f ca="1">Cashflow!AF23</f>
        <v>0</v>
      </c>
      <c r="AA62" s="334">
        <f ca="1">Cashflow!AG23</f>
        <v>0</v>
      </c>
      <c r="AB62" s="334">
        <f ca="1">Cashflow!AH23</f>
        <v>0</v>
      </c>
      <c r="AC62" s="334">
        <f ca="1">Cashflow!AI23</f>
        <v>0</v>
      </c>
      <c r="AD62" s="334">
        <f ca="1">Cashflow!AJ23</f>
        <v>0</v>
      </c>
      <c r="AE62" s="334">
        <f ca="1">Cashflow!AK23</f>
        <v>0</v>
      </c>
      <c r="AF62" s="334">
        <f ca="1">Cashflow!AL23</f>
        <v>0</v>
      </c>
      <c r="AG62" s="334">
        <f ca="1">Cashflow!AM23</f>
        <v>0</v>
      </c>
      <c r="AH62" s="334">
        <f ca="1">Cashflow!AN23</f>
        <v>0</v>
      </c>
      <c r="AI62" s="334">
        <f ca="1">Cashflow!AO23</f>
        <v>0</v>
      </c>
      <c r="AJ62" s="334">
        <f ca="1">Cashflow!AP23</f>
        <v>0</v>
      </c>
      <c r="AK62" s="334">
        <f ca="1">Cashflow!AQ23</f>
        <v>0</v>
      </c>
      <c r="AL62" s="334">
        <f ca="1">Cashflow!AR23</f>
        <v>0</v>
      </c>
      <c r="AM62" s="334">
        <f ca="1">Cashflow!AS23</f>
        <v>0</v>
      </c>
      <c r="AN62" s="334">
        <f ca="1">Cashflow!AT23</f>
        <v>0</v>
      </c>
      <c r="AO62" s="334">
        <f ca="1">Cashflow!AU23</f>
        <v>0</v>
      </c>
      <c r="AP62" s="334">
        <f ca="1">Cashflow!AV23</f>
        <v>0</v>
      </c>
      <c r="AQ62" s="334">
        <f ca="1">Cashflow!AW23</f>
        <v>0</v>
      </c>
      <c r="AR62" s="334">
        <f ca="1">Cashflow!AX23</f>
        <v>0</v>
      </c>
      <c r="AS62" s="334">
        <f ca="1">Cashflow!AY23</f>
        <v>0</v>
      </c>
      <c r="AT62" s="334">
        <f ca="1">Cashflow!AZ23</f>
        <v>0</v>
      </c>
      <c r="AU62" s="334">
        <f ca="1">Cashflow!BA23</f>
        <v>0</v>
      </c>
      <c r="AV62" s="334">
        <f ca="1">Cashflow!BB23</f>
        <v>0</v>
      </c>
      <c r="AW62" s="334">
        <f ca="1">Cashflow!BC23</f>
        <v>0</v>
      </c>
      <c r="AX62" s="334">
        <f ca="1">Cashflow!BD23</f>
        <v>0</v>
      </c>
      <c r="AY62" s="334">
        <f ca="1">Cashflow!BE23</f>
        <v>0</v>
      </c>
      <c r="AZ62" s="334">
        <f ca="1">Cashflow!BF23</f>
        <v>0</v>
      </c>
      <c r="BA62" s="334">
        <f ca="1">Cashflow!BG23</f>
        <v>0</v>
      </c>
      <c r="BB62" s="334">
        <f ca="1">Cashflow!BH23</f>
        <v>0</v>
      </c>
      <c r="BC62" s="334">
        <f ca="1">Cashflow!BI23</f>
        <v>0</v>
      </c>
      <c r="BD62" s="334">
        <f ca="1">Cashflow!BJ23</f>
        <v>0</v>
      </c>
      <c r="BE62" s="334">
        <f ca="1">Cashflow!BK23</f>
        <v>0</v>
      </c>
      <c r="BF62" s="334">
        <f ca="1">Cashflow!BL23</f>
        <v>0</v>
      </c>
      <c r="BG62" s="334">
        <f ca="1">Cashflow!BM23</f>
        <v>0</v>
      </c>
      <c r="BH62" s="334">
        <f ca="1">Cashflow!BN23</f>
        <v>0</v>
      </c>
      <c r="BI62" s="334">
        <f ca="1">Cashflow!BO23</f>
        <v>0</v>
      </c>
      <c r="BJ62" s="334">
        <f ca="1">Cashflow!BP23</f>
        <v>0</v>
      </c>
      <c r="BK62" s="334">
        <f ca="1">Cashflow!BQ23</f>
        <v>0</v>
      </c>
      <c r="BL62" s="292"/>
      <c r="BM62" s="292"/>
      <c r="BN62" s="292"/>
      <c r="BO62" s="292"/>
      <c r="BP62" s="292"/>
      <c r="BQ62" s="292"/>
      <c r="BR62" s="292"/>
      <c r="BS62" s="292"/>
      <c r="BT62" s="292"/>
      <c r="BU62" s="292"/>
      <c r="BV62" s="292"/>
      <c r="BW62" s="292"/>
      <c r="BX62" s="292"/>
      <c r="BY62" s="292"/>
      <c r="BZ62" s="292"/>
      <c r="CA62" s="292"/>
      <c r="CB62" s="292"/>
      <c r="CC62" s="292"/>
      <c r="CD62" s="292"/>
      <c r="CE62" s="292"/>
      <c r="CF62" s="292"/>
      <c r="CG62" s="292"/>
      <c r="CH62" s="292"/>
      <c r="CI62" s="292"/>
      <c r="CJ62" s="292"/>
      <c r="CK62" s="292"/>
      <c r="CL62" s="292"/>
      <c r="CM62" s="292"/>
      <c r="CN62" s="292"/>
      <c r="CO62" s="292"/>
      <c r="CP62" s="292"/>
      <c r="CQ62" s="292"/>
      <c r="CR62" s="292"/>
      <c r="CS62" s="292"/>
      <c r="CT62" s="292"/>
      <c r="CU62" s="292"/>
      <c r="CV62" s="292"/>
      <c r="CW62" s="292"/>
      <c r="CX62" s="292"/>
      <c r="CY62" s="292"/>
      <c r="CZ62" s="292"/>
      <c r="DA62" s="292"/>
      <c r="DB62" s="292"/>
      <c r="DC62" s="292"/>
      <c r="DD62" s="292"/>
      <c r="DE62" s="292"/>
      <c r="DF62" s="292"/>
      <c r="DG62" s="292"/>
      <c r="DH62" s="292"/>
      <c r="DI62" s="292"/>
      <c r="DJ62" s="292"/>
      <c r="DK62" s="292"/>
      <c r="DL62" s="292"/>
      <c r="DM62" s="292"/>
      <c r="DN62" s="292"/>
      <c r="DO62" s="292"/>
      <c r="DP62" s="292"/>
      <c r="DQ62" s="292"/>
      <c r="DR62" s="292"/>
      <c r="DS62" s="292"/>
      <c r="DT62" s="292"/>
      <c r="DU62" s="292"/>
      <c r="DV62" s="292"/>
      <c r="DW62" s="292"/>
      <c r="DX62" s="292"/>
      <c r="DY62" s="292"/>
      <c r="DZ62" s="292"/>
      <c r="EA62" s="292"/>
      <c r="EB62" s="292"/>
      <c r="EC62" s="292"/>
      <c r="ED62" s="292"/>
      <c r="EE62" s="292"/>
      <c r="EF62" s="292"/>
      <c r="EG62" s="292"/>
      <c r="EH62" s="292"/>
      <c r="EI62" s="292"/>
      <c r="EJ62" s="292"/>
      <c r="EK62" s="292"/>
      <c r="EL62" s="292"/>
      <c r="EM62" s="292"/>
      <c r="EN62" s="292"/>
      <c r="EO62" s="292"/>
      <c r="EP62" s="292"/>
      <c r="EQ62" s="292"/>
      <c r="ER62" s="292"/>
      <c r="ES62" s="292"/>
      <c r="ET62" s="292"/>
      <c r="EU62" s="292"/>
      <c r="EV62" s="292"/>
      <c r="EW62" s="292"/>
      <c r="EX62" s="292"/>
      <c r="EY62" s="292"/>
      <c r="EZ62" s="292"/>
      <c r="FA62" s="292"/>
      <c r="FB62" s="292"/>
      <c r="FC62" s="292"/>
      <c r="FD62" s="292"/>
      <c r="FE62" s="292"/>
      <c r="FF62" s="292"/>
      <c r="FG62" s="292"/>
      <c r="FH62" s="292"/>
      <c r="FI62" s="292"/>
      <c r="FJ62" s="292"/>
      <c r="FK62" s="292"/>
      <c r="FL62" s="292"/>
      <c r="FM62" s="292"/>
      <c r="FN62" s="292"/>
      <c r="FO62" s="292"/>
      <c r="FP62" s="292"/>
      <c r="FQ62" s="292"/>
      <c r="FR62" s="292"/>
      <c r="FS62" s="292"/>
      <c r="FT62" s="292"/>
      <c r="FU62" s="292"/>
      <c r="FV62" s="292"/>
      <c r="FW62" s="292"/>
      <c r="FX62" s="292"/>
      <c r="FY62" s="292"/>
      <c r="FZ62" s="292"/>
      <c r="GA62" s="292"/>
      <c r="GB62" s="292"/>
      <c r="GC62" s="292"/>
      <c r="GD62" s="292"/>
      <c r="GE62" s="292"/>
      <c r="GF62" s="292"/>
      <c r="GG62" s="292"/>
      <c r="GH62" s="292"/>
      <c r="GI62" s="292"/>
      <c r="GJ62" s="292"/>
      <c r="GK62" s="292"/>
      <c r="GL62" s="292"/>
      <c r="GM62" s="292"/>
      <c r="GN62" s="292"/>
      <c r="GO62" s="292"/>
      <c r="GP62" s="292"/>
      <c r="GQ62" s="292"/>
      <c r="GR62" s="292"/>
      <c r="GS62" s="292"/>
      <c r="GT62" s="292"/>
      <c r="GU62" s="292"/>
      <c r="GV62" s="292"/>
      <c r="GW62" s="292"/>
      <c r="GX62" s="292"/>
      <c r="GY62" s="292"/>
      <c r="GZ62" s="292"/>
      <c r="HA62" s="292"/>
      <c r="HB62" s="292"/>
      <c r="HC62" s="292"/>
      <c r="HD62" s="292"/>
      <c r="HE62" s="292"/>
      <c r="HF62" s="292"/>
      <c r="HG62" s="292"/>
      <c r="HH62" s="292"/>
      <c r="HI62" s="292"/>
      <c r="HJ62" s="292"/>
      <c r="HK62" s="292"/>
      <c r="HL62" s="292"/>
      <c r="HM62" s="292"/>
      <c r="HN62" s="292"/>
      <c r="HO62" s="292"/>
      <c r="HP62" s="292"/>
      <c r="HQ62" s="292"/>
      <c r="HR62" s="292"/>
      <c r="HS62" s="292"/>
      <c r="HT62" s="292"/>
      <c r="HU62" s="292"/>
      <c r="HV62" s="292"/>
      <c r="HW62" s="292"/>
      <c r="HX62" s="292"/>
      <c r="HY62" s="292"/>
      <c r="HZ62" s="292"/>
      <c r="IA62" s="292"/>
      <c r="IB62" s="292"/>
      <c r="IC62" s="292"/>
      <c r="ID62" s="292"/>
      <c r="IE62" s="292"/>
      <c r="IF62" s="292"/>
      <c r="IG62" s="292"/>
      <c r="IH62" s="292"/>
      <c r="II62" s="292"/>
      <c r="IJ62" s="292"/>
      <c r="IK62" s="292"/>
      <c r="IL62" s="292"/>
      <c r="IM62" s="292"/>
      <c r="IN62" s="292"/>
      <c r="IO62" s="292"/>
      <c r="IP62" s="292"/>
      <c r="IQ62" s="292"/>
      <c r="IR62" s="292"/>
    </row>
    <row r="63" spans="1:252">
      <c r="B63" s="316" t="str">
        <f>Cashflow!E24</f>
        <v xml:space="preserve">Invoice finance interest paid </v>
      </c>
      <c r="C63" s="292"/>
      <c r="D63" s="334">
        <f>Cashflow!J24</f>
        <v>0</v>
      </c>
      <c r="E63" s="334">
        <f ca="1">Cashflow!K24</f>
        <v>0</v>
      </c>
      <c r="F63" s="334">
        <f ca="1">Cashflow!L24</f>
        <v>0</v>
      </c>
      <c r="G63" s="334">
        <f ca="1">Cashflow!M24</f>
        <v>0</v>
      </c>
      <c r="H63" s="334">
        <f ca="1">Cashflow!N24</f>
        <v>0</v>
      </c>
      <c r="I63" s="334">
        <f ca="1">Cashflow!O24</f>
        <v>0</v>
      </c>
      <c r="J63" s="334">
        <f ca="1">Cashflow!P24</f>
        <v>0</v>
      </c>
      <c r="K63" s="334">
        <f ca="1">Cashflow!Q24</f>
        <v>0</v>
      </c>
      <c r="L63" s="334">
        <f ca="1">Cashflow!R24</f>
        <v>0</v>
      </c>
      <c r="M63" s="334">
        <f ca="1">Cashflow!S24</f>
        <v>0</v>
      </c>
      <c r="N63" s="334">
        <f ca="1">Cashflow!T24</f>
        <v>0</v>
      </c>
      <c r="O63" s="334">
        <f ca="1">Cashflow!U24</f>
        <v>0</v>
      </c>
      <c r="P63" s="334">
        <f ca="1">Cashflow!V24</f>
        <v>0</v>
      </c>
      <c r="Q63" s="334">
        <f ca="1">Cashflow!W24</f>
        <v>0</v>
      </c>
      <c r="R63" s="334">
        <f ca="1">Cashflow!X24</f>
        <v>0</v>
      </c>
      <c r="S63" s="334">
        <f ca="1">Cashflow!Y24</f>
        <v>0</v>
      </c>
      <c r="T63" s="334">
        <f ca="1">Cashflow!Z24</f>
        <v>0</v>
      </c>
      <c r="U63" s="334">
        <f ca="1">Cashflow!AA24</f>
        <v>0</v>
      </c>
      <c r="V63" s="334">
        <f ca="1">Cashflow!AB24</f>
        <v>0</v>
      </c>
      <c r="W63" s="334">
        <f ca="1">Cashflow!AC24</f>
        <v>0</v>
      </c>
      <c r="X63" s="334">
        <f ca="1">Cashflow!AD24</f>
        <v>0</v>
      </c>
      <c r="Y63" s="334">
        <f ca="1">Cashflow!AE24</f>
        <v>0</v>
      </c>
      <c r="Z63" s="334">
        <f ca="1">Cashflow!AF24</f>
        <v>0</v>
      </c>
      <c r="AA63" s="334">
        <f ca="1">Cashflow!AG24</f>
        <v>0</v>
      </c>
      <c r="AB63" s="334">
        <f ca="1">Cashflow!AH24</f>
        <v>0</v>
      </c>
      <c r="AC63" s="334">
        <f ca="1">Cashflow!AI24</f>
        <v>0</v>
      </c>
      <c r="AD63" s="334">
        <f ca="1">Cashflow!AJ24</f>
        <v>0</v>
      </c>
      <c r="AE63" s="334">
        <f ca="1">Cashflow!AK24</f>
        <v>0</v>
      </c>
      <c r="AF63" s="334">
        <f ca="1">Cashflow!AL24</f>
        <v>0</v>
      </c>
      <c r="AG63" s="334">
        <f ca="1">Cashflow!AM24</f>
        <v>0</v>
      </c>
      <c r="AH63" s="334">
        <f ca="1">Cashflow!AN24</f>
        <v>0</v>
      </c>
      <c r="AI63" s="334">
        <f ca="1">Cashflow!AO24</f>
        <v>0</v>
      </c>
      <c r="AJ63" s="334">
        <f ca="1">Cashflow!AP24</f>
        <v>0</v>
      </c>
      <c r="AK63" s="334">
        <f ca="1">Cashflow!AQ24</f>
        <v>0</v>
      </c>
      <c r="AL63" s="334">
        <f ca="1">Cashflow!AR24</f>
        <v>0</v>
      </c>
      <c r="AM63" s="334">
        <f ca="1">Cashflow!AS24</f>
        <v>0</v>
      </c>
      <c r="AN63" s="334">
        <f ca="1">Cashflow!AT24</f>
        <v>0</v>
      </c>
      <c r="AO63" s="334">
        <f ca="1">Cashflow!AU24</f>
        <v>0</v>
      </c>
      <c r="AP63" s="334">
        <f ca="1">Cashflow!AV24</f>
        <v>0</v>
      </c>
      <c r="AQ63" s="334">
        <f ca="1">Cashflow!AW24</f>
        <v>0</v>
      </c>
      <c r="AR63" s="334">
        <f ca="1">Cashflow!AX24</f>
        <v>0</v>
      </c>
      <c r="AS63" s="334">
        <f ca="1">Cashflow!AY24</f>
        <v>0</v>
      </c>
      <c r="AT63" s="334">
        <f ca="1">Cashflow!AZ24</f>
        <v>0</v>
      </c>
      <c r="AU63" s="334">
        <f ca="1">Cashflow!BA24</f>
        <v>0</v>
      </c>
      <c r="AV63" s="334">
        <f ca="1">Cashflow!BB24</f>
        <v>0</v>
      </c>
      <c r="AW63" s="334">
        <f ca="1">Cashflow!BC24</f>
        <v>0</v>
      </c>
      <c r="AX63" s="334">
        <f ca="1">Cashflow!BD24</f>
        <v>0</v>
      </c>
      <c r="AY63" s="334">
        <f ca="1">Cashflow!BE24</f>
        <v>0</v>
      </c>
      <c r="AZ63" s="334">
        <f ca="1">Cashflow!BF24</f>
        <v>0</v>
      </c>
      <c r="BA63" s="334">
        <f ca="1">Cashflow!BG24</f>
        <v>0</v>
      </c>
      <c r="BB63" s="334">
        <f ca="1">Cashflow!BH24</f>
        <v>0</v>
      </c>
      <c r="BC63" s="334">
        <f ca="1">Cashflow!BI24</f>
        <v>0</v>
      </c>
      <c r="BD63" s="334">
        <f ca="1">Cashflow!BJ24</f>
        <v>0</v>
      </c>
      <c r="BE63" s="334">
        <f ca="1">Cashflow!BK24</f>
        <v>0</v>
      </c>
      <c r="BF63" s="334">
        <f ca="1">Cashflow!BL24</f>
        <v>0</v>
      </c>
      <c r="BG63" s="334">
        <f ca="1">Cashflow!BM24</f>
        <v>0</v>
      </c>
      <c r="BH63" s="334">
        <f ca="1">Cashflow!BN24</f>
        <v>0</v>
      </c>
      <c r="BI63" s="334">
        <f ca="1">Cashflow!BO24</f>
        <v>0</v>
      </c>
      <c r="BJ63" s="334">
        <f ca="1">Cashflow!BP24</f>
        <v>0</v>
      </c>
      <c r="BK63" s="334">
        <f ca="1">Cashflow!BQ24</f>
        <v>0</v>
      </c>
      <c r="BL63" s="292"/>
      <c r="BM63" s="292"/>
      <c r="BN63" s="292"/>
      <c r="BO63" s="292"/>
      <c r="BP63" s="292"/>
      <c r="BQ63" s="292"/>
      <c r="BR63" s="292"/>
      <c r="BS63" s="327"/>
      <c r="BT63" s="327"/>
      <c r="BU63" s="327"/>
      <c r="BV63" s="327"/>
      <c r="BW63" s="327"/>
      <c r="BX63" s="327"/>
      <c r="BY63" s="327"/>
      <c r="BZ63" s="327"/>
      <c r="CA63" s="327"/>
      <c r="CB63" s="327"/>
      <c r="CC63" s="327"/>
      <c r="CD63" s="327"/>
      <c r="CE63" s="327"/>
      <c r="CF63" s="327"/>
      <c r="CG63" s="327"/>
      <c r="CH63" s="327"/>
      <c r="CI63" s="327"/>
      <c r="CJ63" s="327"/>
      <c r="CK63" s="327"/>
      <c r="CL63" s="327"/>
      <c r="CM63" s="327"/>
      <c r="CN63" s="327"/>
      <c r="CO63" s="327"/>
      <c r="CP63" s="327"/>
      <c r="CQ63" s="327"/>
      <c r="CR63" s="327"/>
      <c r="CS63" s="327"/>
      <c r="CT63" s="327"/>
      <c r="CU63" s="327"/>
      <c r="CV63" s="327"/>
      <c r="CW63" s="327"/>
      <c r="CX63" s="327"/>
      <c r="CY63" s="327"/>
      <c r="CZ63" s="327"/>
      <c r="DA63" s="327"/>
      <c r="DB63" s="327"/>
      <c r="DC63" s="327"/>
      <c r="DD63" s="327"/>
      <c r="DE63" s="327"/>
      <c r="DF63" s="327"/>
      <c r="DG63" s="327"/>
      <c r="DH63" s="327"/>
      <c r="DI63" s="327"/>
      <c r="DJ63" s="327"/>
      <c r="DK63" s="327"/>
      <c r="DL63" s="327"/>
      <c r="DM63" s="327"/>
      <c r="DN63" s="327"/>
      <c r="DO63" s="327"/>
      <c r="DP63" s="327"/>
      <c r="DQ63" s="327"/>
      <c r="DR63" s="327"/>
      <c r="DS63" s="327"/>
      <c r="DT63" s="327"/>
      <c r="DU63" s="327"/>
      <c r="DV63" s="327"/>
      <c r="DW63" s="327"/>
      <c r="DX63" s="327"/>
      <c r="DY63" s="327"/>
      <c r="DZ63" s="327"/>
      <c r="EA63" s="327"/>
      <c r="EB63" s="327"/>
      <c r="EC63" s="327"/>
      <c r="ED63" s="327"/>
      <c r="EE63" s="327"/>
      <c r="EF63" s="327"/>
      <c r="EG63" s="327"/>
      <c r="EH63" s="327"/>
      <c r="EI63" s="327"/>
      <c r="EJ63" s="327"/>
      <c r="EK63" s="327"/>
      <c r="EL63" s="327"/>
      <c r="EM63" s="327"/>
      <c r="EN63" s="327"/>
      <c r="EO63" s="327"/>
      <c r="EP63" s="327"/>
      <c r="EQ63" s="327"/>
      <c r="ER63" s="327"/>
      <c r="ES63" s="327"/>
      <c r="ET63" s="327"/>
      <c r="EU63" s="327"/>
      <c r="EV63" s="327"/>
      <c r="EW63" s="327"/>
      <c r="EX63" s="327"/>
      <c r="EY63" s="327"/>
      <c r="EZ63" s="327"/>
      <c r="FA63" s="327"/>
      <c r="FB63" s="327"/>
      <c r="FC63" s="327"/>
      <c r="FD63" s="327"/>
      <c r="FE63" s="327"/>
      <c r="FF63" s="327"/>
      <c r="FG63" s="327"/>
      <c r="FH63" s="327"/>
      <c r="FI63" s="327"/>
      <c r="FJ63" s="327"/>
      <c r="FK63" s="327"/>
      <c r="FL63" s="327"/>
      <c r="FM63" s="327"/>
      <c r="FN63" s="327"/>
      <c r="FO63" s="327"/>
      <c r="FP63" s="327"/>
      <c r="FQ63" s="327"/>
      <c r="FR63" s="327"/>
      <c r="FS63" s="327"/>
      <c r="FT63" s="327"/>
      <c r="FU63" s="327"/>
      <c r="FV63" s="327"/>
      <c r="FW63" s="327"/>
      <c r="FX63" s="327"/>
      <c r="FY63" s="327"/>
      <c r="FZ63" s="327"/>
      <c r="GA63" s="327"/>
      <c r="GB63" s="327"/>
      <c r="GC63" s="327"/>
      <c r="GD63" s="327"/>
      <c r="GE63" s="327"/>
      <c r="GF63" s="327"/>
      <c r="GG63" s="327"/>
      <c r="GH63" s="327"/>
      <c r="GI63" s="327"/>
      <c r="GJ63" s="327"/>
      <c r="GK63" s="327"/>
      <c r="GL63" s="327"/>
      <c r="GM63" s="327"/>
      <c r="GN63" s="327"/>
      <c r="GO63" s="327"/>
      <c r="GP63" s="327"/>
      <c r="GQ63" s="327"/>
      <c r="GR63" s="327"/>
      <c r="GS63" s="327"/>
      <c r="GT63" s="327"/>
      <c r="GU63" s="327"/>
      <c r="GV63" s="327"/>
      <c r="GW63" s="327"/>
      <c r="GX63" s="327"/>
      <c r="GY63" s="327"/>
      <c r="GZ63" s="327"/>
      <c r="HA63" s="327"/>
      <c r="HB63" s="327"/>
      <c r="HC63" s="327"/>
      <c r="HD63" s="327"/>
      <c r="HE63" s="327"/>
      <c r="HF63" s="327"/>
      <c r="HG63" s="327"/>
      <c r="HH63" s="327"/>
      <c r="HI63" s="327"/>
      <c r="HJ63" s="327"/>
      <c r="HK63" s="327"/>
      <c r="HL63" s="327"/>
      <c r="HM63" s="327"/>
      <c r="HN63" s="327"/>
      <c r="HO63" s="327"/>
      <c r="HP63" s="327"/>
      <c r="HQ63" s="327"/>
      <c r="HR63" s="327"/>
      <c r="HS63" s="327"/>
      <c r="HT63" s="327"/>
      <c r="HU63" s="327"/>
      <c r="HV63" s="327"/>
      <c r="HW63" s="327"/>
      <c r="HX63" s="327"/>
      <c r="HY63" s="327"/>
      <c r="HZ63" s="327"/>
      <c r="IA63" s="327"/>
      <c r="IB63" s="327"/>
      <c r="IC63" s="327"/>
      <c r="ID63" s="327"/>
      <c r="IE63" s="327"/>
      <c r="IF63" s="327"/>
      <c r="IG63" s="327"/>
      <c r="IH63" s="327"/>
      <c r="II63" s="327"/>
      <c r="IJ63" s="327"/>
      <c r="IK63" s="327"/>
      <c r="IL63" s="327"/>
      <c r="IM63" s="327"/>
      <c r="IN63" s="327"/>
      <c r="IO63" s="327"/>
      <c r="IP63" s="327"/>
      <c r="IQ63" s="327"/>
      <c r="IR63" s="327"/>
    </row>
    <row r="64" spans="1:252">
      <c r="A64" s="292"/>
      <c r="B64" s="316" t="str">
        <f>Cashflow!E25</f>
        <v xml:space="preserve">Asset Finance interest paid </v>
      </c>
      <c r="C64" s="292"/>
      <c r="D64" s="334">
        <f>Cashflow!J25</f>
        <v>0</v>
      </c>
      <c r="E64" s="334">
        <f ca="1">Cashflow!K25</f>
        <v>0</v>
      </c>
      <c r="F64" s="334">
        <f ca="1">Cashflow!L25</f>
        <v>0</v>
      </c>
      <c r="G64" s="334">
        <f ca="1">Cashflow!M25</f>
        <v>0</v>
      </c>
      <c r="H64" s="334">
        <f ca="1">Cashflow!N25</f>
        <v>0</v>
      </c>
      <c r="I64" s="334">
        <f ca="1">Cashflow!O25</f>
        <v>0</v>
      </c>
      <c r="J64" s="334">
        <f ca="1">Cashflow!P25</f>
        <v>0</v>
      </c>
      <c r="K64" s="334">
        <f ca="1">Cashflow!Q25</f>
        <v>0</v>
      </c>
      <c r="L64" s="334">
        <f ca="1">Cashflow!R25</f>
        <v>0</v>
      </c>
      <c r="M64" s="334">
        <f ca="1">Cashflow!S25</f>
        <v>0</v>
      </c>
      <c r="N64" s="334">
        <f ca="1">Cashflow!T25</f>
        <v>0</v>
      </c>
      <c r="O64" s="334">
        <f ca="1">Cashflow!U25</f>
        <v>0</v>
      </c>
      <c r="P64" s="334">
        <f ca="1">Cashflow!V25</f>
        <v>0</v>
      </c>
      <c r="Q64" s="334">
        <f ca="1">Cashflow!W25</f>
        <v>0</v>
      </c>
      <c r="R64" s="334">
        <f ca="1">Cashflow!X25</f>
        <v>0</v>
      </c>
      <c r="S64" s="334">
        <f ca="1">Cashflow!Y25</f>
        <v>0</v>
      </c>
      <c r="T64" s="334">
        <f ca="1">Cashflow!Z25</f>
        <v>0</v>
      </c>
      <c r="U64" s="334">
        <f ca="1">Cashflow!AA25</f>
        <v>0</v>
      </c>
      <c r="V64" s="334">
        <f ca="1">Cashflow!AB25</f>
        <v>0</v>
      </c>
      <c r="W64" s="334">
        <f ca="1">Cashflow!AC25</f>
        <v>0</v>
      </c>
      <c r="X64" s="334">
        <f ca="1">Cashflow!AD25</f>
        <v>0</v>
      </c>
      <c r="Y64" s="334">
        <f ca="1">Cashflow!AE25</f>
        <v>0</v>
      </c>
      <c r="Z64" s="334">
        <f ca="1">Cashflow!AF25</f>
        <v>0</v>
      </c>
      <c r="AA64" s="334">
        <f ca="1">Cashflow!AG25</f>
        <v>0</v>
      </c>
      <c r="AB64" s="334">
        <f ca="1">Cashflow!AH25</f>
        <v>0</v>
      </c>
      <c r="AC64" s="334">
        <f ca="1">Cashflow!AI25</f>
        <v>0</v>
      </c>
      <c r="AD64" s="334">
        <f ca="1">Cashflow!AJ25</f>
        <v>0</v>
      </c>
      <c r="AE64" s="334">
        <f ca="1">Cashflow!AK25</f>
        <v>0</v>
      </c>
      <c r="AF64" s="334">
        <f ca="1">Cashflow!AL25</f>
        <v>0</v>
      </c>
      <c r="AG64" s="334">
        <f ca="1">Cashflow!AM25</f>
        <v>0</v>
      </c>
      <c r="AH64" s="334">
        <f ca="1">Cashflow!AN25</f>
        <v>0</v>
      </c>
      <c r="AI64" s="334">
        <f ca="1">Cashflow!AO25</f>
        <v>0</v>
      </c>
      <c r="AJ64" s="334">
        <f ca="1">Cashflow!AP25</f>
        <v>0</v>
      </c>
      <c r="AK64" s="334">
        <f ca="1">Cashflow!AQ25</f>
        <v>0</v>
      </c>
      <c r="AL64" s="334">
        <f ca="1">Cashflow!AR25</f>
        <v>0</v>
      </c>
      <c r="AM64" s="334">
        <f ca="1">Cashflow!AS25</f>
        <v>0</v>
      </c>
      <c r="AN64" s="334">
        <f ca="1">Cashflow!AT25</f>
        <v>0</v>
      </c>
      <c r="AO64" s="334">
        <f ca="1">Cashflow!AU25</f>
        <v>0</v>
      </c>
      <c r="AP64" s="334">
        <f ca="1">Cashflow!AV25</f>
        <v>0</v>
      </c>
      <c r="AQ64" s="334">
        <f ca="1">Cashflow!AW25</f>
        <v>0</v>
      </c>
      <c r="AR64" s="334">
        <f ca="1">Cashflow!AX25</f>
        <v>0</v>
      </c>
      <c r="AS64" s="334">
        <f ca="1">Cashflow!AY25</f>
        <v>0</v>
      </c>
      <c r="AT64" s="334">
        <f ca="1">Cashflow!AZ25</f>
        <v>0</v>
      </c>
      <c r="AU64" s="334">
        <f ca="1">Cashflow!BA25</f>
        <v>0</v>
      </c>
      <c r="AV64" s="334">
        <f ca="1">Cashflow!BB25</f>
        <v>0</v>
      </c>
      <c r="AW64" s="334">
        <f ca="1">Cashflow!BC25</f>
        <v>0</v>
      </c>
      <c r="AX64" s="334">
        <f ca="1">Cashflow!BD25</f>
        <v>0</v>
      </c>
      <c r="AY64" s="334">
        <f ca="1">Cashflow!BE25</f>
        <v>0</v>
      </c>
      <c r="AZ64" s="334">
        <f ca="1">Cashflow!BF25</f>
        <v>0</v>
      </c>
      <c r="BA64" s="334">
        <f ca="1">Cashflow!BG25</f>
        <v>0</v>
      </c>
      <c r="BB64" s="334">
        <f ca="1">Cashflow!BH25</f>
        <v>0</v>
      </c>
      <c r="BC64" s="334">
        <f ca="1">Cashflow!BI25</f>
        <v>0</v>
      </c>
      <c r="BD64" s="334">
        <f ca="1">Cashflow!BJ25</f>
        <v>0</v>
      </c>
      <c r="BE64" s="334">
        <f ca="1">Cashflow!BK25</f>
        <v>0</v>
      </c>
      <c r="BF64" s="334">
        <f ca="1">Cashflow!BL25</f>
        <v>0</v>
      </c>
      <c r="BG64" s="334">
        <f ca="1">Cashflow!BM25</f>
        <v>0</v>
      </c>
      <c r="BH64" s="334">
        <f ca="1">Cashflow!BN25</f>
        <v>0</v>
      </c>
      <c r="BI64" s="334">
        <f ca="1">Cashflow!BO25</f>
        <v>0</v>
      </c>
      <c r="BJ64" s="334">
        <f ca="1">Cashflow!BP25</f>
        <v>0</v>
      </c>
      <c r="BK64" s="334">
        <f ca="1">Cashflow!BQ25</f>
        <v>0</v>
      </c>
      <c r="BL64" s="292"/>
    </row>
    <row r="65" spans="2:63">
      <c r="B65" s="327" t="str">
        <f>Cashflow!E26</f>
        <v>CF after financing</v>
      </c>
      <c r="C65" s="323"/>
      <c r="D65" s="335">
        <f ca="1">Cashflow!J26</f>
        <v>-73700</v>
      </c>
      <c r="E65" s="335">
        <f ca="1">Cashflow!K26</f>
        <v>-73700</v>
      </c>
      <c r="F65" s="335">
        <f ca="1">Cashflow!L26</f>
        <v>-165300</v>
      </c>
      <c r="G65" s="335">
        <f ca="1">Cashflow!M26</f>
        <v>-179368.64253648007</v>
      </c>
      <c r="H65" s="335">
        <f ca="1">Cashflow!N26</f>
        <v>736231.3574635199</v>
      </c>
      <c r="I65" s="335">
        <f ca="1">Cashflow!O26</f>
        <v>239852.92883378902</v>
      </c>
      <c r="J65" s="335">
        <f ca="1">Cashflow!P26</f>
        <v>231546.45736916387</v>
      </c>
      <c r="K65" s="335">
        <f ca="1">Cashflow!Q26</f>
        <v>244146.45736916387</v>
      </c>
      <c r="L65" s="335">
        <f ca="1">Cashflow!R26</f>
        <v>1229153.3417144502</v>
      </c>
      <c r="M65" s="335">
        <f ca="1">Cashflow!S26</f>
        <v>957444.90442621405</v>
      </c>
      <c r="N65" s="335">
        <f ca="1">Cashflow!T26</f>
        <v>453444.90442621411</v>
      </c>
      <c r="O65" s="335">
        <f ca="1">Cashflow!U26</f>
        <v>-1127558.3925030218</v>
      </c>
      <c r="P65" s="335">
        <f ca="1">Cashflow!V26</f>
        <v>4471014.0252030026</v>
      </c>
      <c r="Q65" s="335">
        <f ca="1">Cashflow!W26</f>
        <v>-289538.73315946513</v>
      </c>
      <c r="R65" s="335">
        <f ca="1">Cashflow!X26</f>
        <v>2926575.9116698531</v>
      </c>
      <c r="S65" s="335">
        <f ca="1">Cashflow!Y26</f>
        <v>2651347.0244624694</v>
      </c>
      <c r="T65" s="335">
        <f ca="1">Cashflow!Z26</f>
        <v>1474316.4672711091</v>
      </c>
      <c r="U65" s="335">
        <f ca="1">Cashflow!AA26</f>
        <v>3882403.5337576102</v>
      </c>
      <c r="V65" s="335">
        <f ca="1">Cashflow!AB26</f>
        <v>146396.82684492937</v>
      </c>
      <c r="W65" s="335">
        <f ca="1">Cashflow!AC26</f>
        <v>569.40793068800122</v>
      </c>
      <c r="X65" s="335">
        <f ca="1">Cashflow!AD26</f>
        <v>1422351.483218204</v>
      </c>
      <c r="Y65" s="335">
        <f ca="1">Cashflow!AE26</f>
        <v>815890.67034797138</v>
      </c>
      <c r="Z65" s="335">
        <f ca="1">Cashflow!AF26</f>
        <v>287415.94566986582</v>
      </c>
      <c r="AA65" s="335">
        <f ca="1">Cashflow!AG26</f>
        <v>74661.194210084213</v>
      </c>
      <c r="AB65" s="335">
        <f ca="1">Cashflow!AH26</f>
        <v>6743670.1566248611</v>
      </c>
      <c r="AC65" s="335">
        <f ca="1">Cashflow!AI26</f>
        <v>1475064.6398999251</v>
      </c>
      <c r="AD65" s="335">
        <f ca="1">Cashflow!AJ26</f>
        <v>6381961.130851822</v>
      </c>
      <c r="AE65" s="335">
        <f ca="1">Cashflow!AK26</f>
        <v>1123298.2141068205</v>
      </c>
      <c r="AF65" s="335">
        <f ca="1">Cashflow!AL26</f>
        <v>4671130.7151278798</v>
      </c>
      <c r="AG65" s="335">
        <f ca="1">Cashflow!AM26</f>
        <v>3555084.2730054427</v>
      </c>
      <c r="AH65" s="335">
        <f ca="1">Cashflow!AN26</f>
        <v>3809374.5489722099</v>
      </c>
      <c r="AI65" s="335">
        <f ca="1">Cashflow!AO26</f>
        <v>3412806.4218118279</v>
      </c>
      <c r="AJ65" s="335">
        <f ca="1">Cashflow!AP26</f>
        <v>1568720.9365049377</v>
      </c>
      <c r="AK65" s="335">
        <f ca="1">Cashflow!AQ26</f>
        <v>3322145.0168607868</v>
      </c>
      <c r="AL65" s="335">
        <f ca="1">Cashflow!AR26</f>
        <v>5740695.5675045755</v>
      </c>
      <c r="AM65" s="335">
        <f ca="1">Cashflow!AS26</f>
        <v>2122968.3411050001</v>
      </c>
      <c r="AN65" s="335">
        <f ca="1">Cashflow!AT26</f>
        <v>8140688.8356065191</v>
      </c>
      <c r="AO65" s="335">
        <f ca="1">Cashflow!AU26</f>
        <v>7922380.3196304273</v>
      </c>
      <c r="AP65" s="335">
        <f ca="1">Cashflow!AV26</f>
        <v>7669658.4343075529</v>
      </c>
      <c r="AQ65" s="335">
        <f ca="1">Cashflow!AW26</f>
        <v>-1720204.966976298</v>
      </c>
      <c r="AR65" s="335">
        <f ca="1">Cashflow!AX26</f>
        <v>12469100.476428872</v>
      </c>
      <c r="AS65" s="335">
        <f ca="1">Cashflow!AY26</f>
        <v>5883772.5464722803</v>
      </c>
      <c r="AT65" s="335">
        <f ca="1">Cashflow!AZ26</f>
        <v>12283160.912048608</v>
      </c>
      <c r="AU65" s="335">
        <f ca="1">Cashflow!BA26</f>
        <v>14649815.441642519</v>
      </c>
      <c r="AV65" s="335">
        <f ca="1">Cashflow!BB26</f>
        <v>6819406.6848044237</v>
      </c>
      <c r="AW65" s="335">
        <f ca="1">Cashflow!BC26</f>
        <v>14229343.095635004</v>
      </c>
      <c r="AX65" s="335">
        <f ca="1">Cashflow!BD26</f>
        <v>16482416.944712285</v>
      </c>
      <c r="AY65" s="335">
        <f ca="1">Cashflow!BE26</f>
        <v>7274156.5748646278</v>
      </c>
      <c r="AZ65" s="335">
        <f ca="1">Cashflow!BF26</f>
        <v>18687322.595373821</v>
      </c>
      <c r="BA65" s="335">
        <f ca="1">Cashflow!BG26</f>
        <v>20865205.563421633</v>
      </c>
      <c r="BB65" s="335">
        <f ca="1">Cashflow!BH26</f>
        <v>11912345.556663362</v>
      </c>
      <c r="BC65" s="335">
        <f ca="1">Cashflow!BI26</f>
        <v>-1626463.8594327904</v>
      </c>
      <c r="BD65" s="335">
        <f ca="1">Cashflow!BJ26</f>
        <v>25171446.218490042</v>
      </c>
      <c r="BE65" s="335">
        <f ca="1">Cashflow!BK26</f>
        <v>13437159.862629097</v>
      </c>
      <c r="BF65" s="335">
        <f ca="1">Cashflow!BL26</f>
        <v>27068386.874148738</v>
      </c>
      <c r="BG65" s="335">
        <f ca="1">Cashflow!BM26</f>
        <v>29239695.93333656</v>
      </c>
      <c r="BH65" s="335">
        <f ca="1">Cashflow!BN26</f>
        <v>15291526.113684423</v>
      </c>
      <c r="BI65" s="335">
        <f ca="1">Cashflow!BO26</f>
        <v>31066601.956224069</v>
      </c>
      <c r="BJ65" s="335">
        <f ca="1">Cashflow!BP26</f>
        <v>33094749.654378615</v>
      </c>
      <c r="BK65" s="335">
        <f ca="1">Cashflow!BQ26</f>
        <v>18809147.40741425</v>
      </c>
    </row>
    <row r="66" spans="2:63">
      <c r="C66" s="292"/>
      <c r="D66" s="334"/>
      <c r="E66" s="334"/>
      <c r="F66" s="334"/>
      <c r="G66" s="334"/>
      <c r="H66" s="334"/>
      <c r="I66" s="334"/>
      <c r="J66" s="334"/>
      <c r="K66" s="334"/>
      <c r="L66" s="334"/>
      <c r="M66" s="334"/>
      <c r="N66" s="334"/>
      <c r="O66" s="334"/>
      <c r="P66" s="334"/>
      <c r="Q66" s="334"/>
      <c r="R66" s="334"/>
      <c r="S66" s="334"/>
      <c r="T66" s="334"/>
      <c r="U66" s="334"/>
      <c r="V66" s="334"/>
      <c r="W66" s="334"/>
      <c r="X66" s="334"/>
      <c r="Y66" s="334"/>
      <c r="Z66" s="334"/>
      <c r="AA66" s="334"/>
      <c r="AB66" s="334"/>
      <c r="AC66" s="334"/>
      <c r="AD66" s="334"/>
      <c r="AE66" s="334"/>
      <c r="AF66" s="334"/>
      <c r="AG66" s="334"/>
      <c r="AH66" s="334"/>
      <c r="AI66" s="334"/>
      <c r="AJ66" s="334"/>
      <c r="AK66" s="334"/>
      <c r="AL66" s="334"/>
      <c r="AM66" s="334"/>
      <c r="AN66" s="334"/>
      <c r="AO66" s="334"/>
      <c r="AP66" s="334"/>
      <c r="AQ66" s="334"/>
      <c r="AR66" s="334"/>
      <c r="AS66" s="334"/>
      <c r="AT66" s="334"/>
      <c r="AU66" s="334"/>
      <c r="AV66" s="334"/>
      <c r="AW66" s="334"/>
      <c r="AX66" s="334"/>
      <c r="AY66" s="334"/>
      <c r="AZ66" s="334"/>
      <c r="BA66" s="334"/>
      <c r="BB66" s="334"/>
      <c r="BC66" s="334"/>
      <c r="BD66" s="334"/>
      <c r="BE66" s="334"/>
      <c r="BF66" s="334"/>
      <c r="BG66" s="334"/>
      <c r="BH66" s="334"/>
      <c r="BI66" s="334"/>
      <c r="BJ66" s="334"/>
      <c r="BK66" s="334"/>
    </row>
    <row r="67" spans="2:63">
      <c r="B67" s="316" t="str">
        <f>Cashflow!E28</f>
        <v>New share capital issued</v>
      </c>
      <c r="C67" s="292"/>
      <c r="D67" s="334">
        <f>Cashflow!J28</f>
        <v>0</v>
      </c>
      <c r="E67" s="334">
        <f>Cashflow!K28</f>
        <v>0</v>
      </c>
      <c r="F67" s="334">
        <f>Cashflow!L28</f>
        <v>0</v>
      </c>
      <c r="G67" s="334">
        <f>Cashflow!M28</f>
        <v>0</v>
      </c>
      <c r="H67" s="334">
        <f>Cashflow!N28</f>
        <v>0</v>
      </c>
      <c r="I67" s="334">
        <f>Cashflow!O28</f>
        <v>0</v>
      </c>
      <c r="J67" s="334">
        <f>Cashflow!P28</f>
        <v>0</v>
      </c>
      <c r="K67" s="334">
        <f>Cashflow!Q28</f>
        <v>0</v>
      </c>
      <c r="L67" s="334">
        <f>Cashflow!R28</f>
        <v>0</v>
      </c>
      <c r="M67" s="334">
        <f>Cashflow!S28</f>
        <v>0</v>
      </c>
      <c r="N67" s="334">
        <f>Cashflow!T28</f>
        <v>0</v>
      </c>
      <c r="O67" s="334">
        <f>Cashflow!U28</f>
        <v>0</v>
      </c>
      <c r="P67" s="334">
        <f>Cashflow!V28</f>
        <v>0</v>
      </c>
      <c r="Q67" s="334">
        <f>Cashflow!W28</f>
        <v>0</v>
      </c>
      <c r="R67" s="334">
        <f>Cashflow!X28</f>
        <v>0</v>
      </c>
      <c r="S67" s="334">
        <f>Cashflow!Y28</f>
        <v>0</v>
      </c>
      <c r="T67" s="334">
        <f>Cashflow!Z28</f>
        <v>0</v>
      </c>
      <c r="U67" s="334">
        <f>Cashflow!AA28</f>
        <v>0</v>
      </c>
      <c r="V67" s="334">
        <f>Cashflow!AB28</f>
        <v>0</v>
      </c>
      <c r="W67" s="334">
        <f>Cashflow!AC28</f>
        <v>0</v>
      </c>
      <c r="X67" s="334">
        <f>Cashflow!AD28</f>
        <v>0</v>
      </c>
      <c r="Y67" s="334">
        <f>Cashflow!AE28</f>
        <v>0</v>
      </c>
      <c r="Z67" s="334">
        <f>Cashflow!AF28</f>
        <v>0</v>
      </c>
      <c r="AA67" s="334">
        <f>Cashflow!AG28</f>
        <v>0</v>
      </c>
      <c r="AB67" s="334">
        <f>Cashflow!AH28</f>
        <v>0</v>
      </c>
      <c r="AC67" s="334">
        <f>Cashflow!AI28</f>
        <v>0</v>
      </c>
      <c r="AD67" s="334">
        <f>Cashflow!AJ28</f>
        <v>0</v>
      </c>
      <c r="AE67" s="334">
        <f>Cashflow!AK28</f>
        <v>0</v>
      </c>
      <c r="AF67" s="334">
        <f>Cashflow!AL28</f>
        <v>0</v>
      </c>
      <c r="AG67" s="334">
        <f>Cashflow!AM28</f>
        <v>0</v>
      </c>
      <c r="AH67" s="334">
        <f>Cashflow!AN28</f>
        <v>0</v>
      </c>
      <c r="AI67" s="334">
        <f>Cashflow!AO28</f>
        <v>0</v>
      </c>
      <c r="AJ67" s="334">
        <f>Cashflow!AP28</f>
        <v>0</v>
      </c>
      <c r="AK67" s="334">
        <f>Cashflow!AQ28</f>
        <v>0</v>
      </c>
      <c r="AL67" s="334">
        <f>Cashflow!AR28</f>
        <v>0</v>
      </c>
      <c r="AM67" s="334">
        <f>Cashflow!AS28</f>
        <v>0</v>
      </c>
      <c r="AN67" s="334">
        <f>Cashflow!AT28</f>
        <v>0</v>
      </c>
      <c r="AO67" s="334">
        <f>Cashflow!AU28</f>
        <v>0</v>
      </c>
      <c r="AP67" s="334">
        <f>Cashflow!AV28</f>
        <v>0</v>
      </c>
      <c r="AQ67" s="334">
        <f>Cashflow!AW28</f>
        <v>0</v>
      </c>
      <c r="AR67" s="334">
        <f>Cashflow!AX28</f>
        <v>0</v>
      </c>
      <c r="AS67" s="334">
        <f>Cashflow!AY28</f>
        <v>0</v>
      </c>
      <c r="AT67" s="334">
        <f>Cashflow!AZ28</f>
        <v>0</v>
      </c>
      <c r="AU67" s="334">
        <f>Cashflow!BA28</f>
        <v>0</v>
      </c>
      <c r="AV67" s="334">
        <f>Cashflow!BB28</f>
        <v>0</v>
      </c>
      <c r="AW67" s="334">
        <f>Cashflow!BC28</f>
        <v>0</v>
      </c>
      <c r="AX67" s="334">
        <f>Cashflow!BD28</f>
        <v>0</v>
      </c>
      <c r="AY67" s="334">
        <f>Cashflow!BE28</f>
        <v>0</v>
      </c>
      <c r="AZ67" s="334">
        <f>Cashflow!BF28</f>
        <v>0</v>
      </c>
      <c r="BA67" s="334">
        <f>Cashflow!BG28</f>
        <v>0</v>
      </c>
      <c r="BB67" s="334">
        <f>Cashflow!BH28</f>
        <v>0</v>
      </c>
      <c r="BC67" s="334">
        <f>Cashflow!BI28</f>
        <v>0</v>
      </c>
      <c r="BD67" s="334">
        <f>Cashflow!BJ28</f>
        <v>0</v>
      </c>
      <c r="BE67" s="334">
        <f>Cashflow!BK28</f>
        <v>0</v>
      </c>
      <c r="BF67" s="334">
        <f>Cashflow!BL28</f>
        <v>0</v>
      </c>
      <c r="BG67" s="334">
        <f>Cashflow!BM28</f>
        <v>0</v>
      </c>
      <c r="BH67" s="334">
        <f>Cashflow!BN28</f>
        <v>0</v>
      </c>
      <c r="BI67" s="334">
        <f>Cashflow!BO28</f>
        <v>0</v>
      </c>
      <c r="BJ67" s="334">
        <f>Cashflow!BP28</f>
        <v>0</v>
      </c>
      <c r="BK67" s="334">
        <f>Cashflow!BQ28</f>
        <v>0</v>
      </c>
    </row>
    <row r="68" spans="2:63">
      <c r="B68" s="327" t="str">
        <f>Cashflow!E29</f>
        <v>Net Cashflow</v>
      </c>
      <c r="C68" s="323"/>
      <c r="D68" s="335">
        <f ca="1">Cashflow!J29</f>
        <v>-73700</v>
      </c>
      <c r="E68" s="335">
        <f ca="1">Cashflow!K29</f>
        <v>-73700</v>
      </c>
      <c r="F68" s="335">
        <f ca="1">Cashflow!L29</f>
        <v>-165300</v>
      </c>
      <c r="G68" s="335">
        <f ca="1">Cashflow!M29</f>
        <v>-179368.64253648007</v>
      </c>
      <c r="H68" s="335">
        <f ca="1">Cashflow!N29</f>
        <v>736231.3574635199</v>
      </c>
      <c r="I68" s="335">
        <f ca="1">Cashflow!O29</f>
        <v>239852.92883378902</v>
      </c>
      <c r="J68" s="335">
        <f ca="1">Cashflow!P29</f>
        <v>231546.45736916387</v>
      </c>
      <c r="K68" s="335">
        <f ca="1">Cashflow!Q29</f>
        <v>244146.45736916387</v>
      </c>
      <c r="L68" s="335">
        <f ca="1">Cashflow!R29</f>
        <v>1229153.3417144502</v>
      </c>
      <c r="M68" s="335">
        <f ca="1">Cashflow!S29</f>
        <v>957444.90442621405</v>
      </c>
      <c r="N68" s="335">
        <f ca="1">Cashflow!T29</f>
        <v>453444.90442621411</v>
      </c>
      <c r="O68" s="335">
        <f ca="1">Cashflow!U29</f>
        <v>-1127558.3925030218</v>
      </c>
      <c r="P68" s="335">
        <f ca="1">Cashflow!V29</f>
        <v>4471014.0252030026</v>
      </c>
      <c r="Q68" s="335">
        <f ca="1">Cashflow!W29</f>
        <v>-289538.73315946513</v>
      </c>
      <c r="R68" s="335">
        <f ca="1">Cashflow!X29</f>
        <v>2926575.9116698531</v>
      </c>
      <c r="S68" s="335">
        <f ca="1">Cashflow!Y29</f>
        <v>2651347.0244624694</v>
      </c>
      <c r="T68" s="335">
        <f ca="1">Cashflow!Z29</f>
        <v>1474316.4672711091</v>
      </c>
      <c r="U68" s="335">
        <f ca="1">Cashflow!AA29</f>
        <v>3882403.5337576102</v>
      </c>
      <c r="V68" s="335">
        <f ca="1">Cashflow!AB29</f>
        <v>146396.82684492937</v>
      </c>
      <c r="W68" s="335">
        <f ca="1">Cashflow!AC29</f>
        <v>569.40793068800122</v>
      </c>
      <c r="X68" s="335">
        <f ca="1">Cashflow!AD29</f>
        <v>1422351.483218204</v>
      </c>
      <c r="Y68" s="335">
        <f ca="1">Cashflow!AE29</f>
        <v>815890.67034797138</v>
      </c>
      <c r="Z68" s="335">
        <f ca="1">Cashflow!AF29</f>
        <v>287415.94566986582</v>
      </c>
      <c r="AA68" s="335">
        <f ca="1">Cashflow!AG29</f>
        <v>74661.194210084213</v>
      </c>
      <c r="AB68" s="335">
        <f ca="1">Cashflow!AH29</f>
        <v>6743670.1566248611</v>
      </c>
      <c r="AC68" s="335">
        <f ca="1">Cashflow!AI29</f>
        <v>1475064.6398999251</v>
      </c>
      <c r="AD68" s="335">
        <f ca="1">Cashflow!AJ29</f>
        <v>6381961.130851822</v>
      </c>
      <c r="AE68" s="335">
        <f ca="1">Cashflow!AK29</f>
        <v>1123298.2141068205</v>
      </c>
      <c r="AF68" s="335">
        <f ca="1">Cashflow!AL29</f>
        <v>4671130.7151278798</v>
      </c>
      <c r="AG68" s="335">
        <f ca="1">Cashflow!AM29</f>
        <v>3555084.2730054427</v>
      </c>
      <c r="AH68" s="335">
        <f ca="1">Cashflow!AN29</f>
        <v>3809374.5489722099</v>
      </c>
      <c r="AI68" s="335">
        <f ca="1">Cashflow!AO29</f>
        <v>3412806.4218118279</v>
      </c>
      <c r="AJ68" s="335">
        <f ca="1">Cashflow!AP29</f>
        <v>1568720.9365049377</v>
      </c>
      <c r="AK68" s="335">
        <f ca="1">Cashflow!AQ29</f>
        <v>3322145.0168607868</v>
      </c>
      <c r="AL68" s="335">
        <f ca="1">Cashflow!AR29</f>
        <v>5740695.5675045755</v>
      </c>
      <c r="AM68" s="335">
        <f ca="1">Cashflow!AS29</f>
        <v>2122968.3411050001</v>
      </c>
      <c r="AN68" s="335">
        <f ca="1">Cashflow!AT29</f>
        <v>8140688.8356065191</v>
      </c>
      <c r="AO68" s="335">
        <f ca="1">Cashflow!AU29</f>
        <v>7922380.3196304273</v>
      </c>
      <c r="AP68" s="335">
        <f ca="1">Cashflow!AV29</f>
        <v>7669658.4343075529</v>
      </c>
      <c r="AQ68" s="335">
        <f ca="1">Cashflow!AW29</f>
        <v>-1720204.966976298</v>
      </c>
      <c r="AR68" s="335">
        <f ca="1">Cashflow!AX29</f>
        <v>12469100.476428872</v>
      </c>
      <c r="AS68" s="335">
        <f ca="1">Cashflow!AY29</f>
        <v>5883772.5464722803</v>
      </c>
      <c r="AT68" s="335">
        <f ca="1">Cashflow!AZ29</f>
        <v>12283160.912048608</v>
      </c>
      <c r="AU68" s="335">
        <f ca="1">Cashflow!BA29</f>
        <v>14649815.441642519</v>
      </c>
      <c r="AV68" s="335">
        <f ca="1">Cashflow!BB29</f>
        <v>6819406.6848044237</v>
      </c>
      <c r="AW68" s="335">
        <f ca="1">Cashflow!BC29</f>
        <v>14229343.095635004</v>
      </c>
      <c r="AX68" s="335">
        <f ca="1">Cashflow!BD29</f>
        <v>16482416.944712285</v>
      </c>
      <c r="AY68" s="335">
        <f ca="1">Cashflow!BE29</f>
        <v>7274156.5748646278</v>
      </c>
      <c r="AZ68" s="335">
        <f ca="1">Cashflow!BF29</f>
        <v>18687322.595373821</v>
      </c>
      <c r="BA68" s="335">
        <f ca="1">Cashflow!BG29</f>
        <v>20865205.563421633</v>
      </c>
      <c r="BB68" s="335">
        <f ca="1">Cashflow!BH29</f>
        <v>11912345.556663362</v>
      </c>
      <c r="BC68" s="335">
        <f ca="1">Cashflow!BI29</f>
        <v>-1626463.8594327904</v>
      </c>
      <c r="BD68" s="335">
        <f ca="1">Cashflow!BJ29</f>
        <v>25171446.218490042</v>
      </c>
      <c r="BE68" s="335">
        <f ca="1">Cashflow!BK29</f>
        <v>13437159.862629097</v>
      </c>
      <c r="BF68" s="335">
        <f ca="1">Cashflow!BL29</f>
        <v>27068386.874148738</v>
      </c>
      <c r="BG68" s="335">
        <f ca="1">Cashflow!BM29</f>
        <v>29239695.93333656</v>
      </c>
      <c r="BH68" s="335">
        <f ca="1">Cashflow!BN29</f>
        <v>15291526.113684423</v>
      </c>
      <c r="BI68" s="335">
        <f ca="1">Cashflow!BO29</f>
        <v>31066601.956224069</v>
      </c>
      <c r="BJ68" s="335">
        <f ca="1">Cashflow!BP29</f>
        <v>33094749.654378615</v>
      </c>
      <c r="BK68" s="335">
        <f ca="1">Cashflow!BQ29</f>
        <v>18809147.40741425</v>
      </c>
    </row>
    <row r="69" spans="2:63">
      <c r="C69" s="292"/>
      <c r="D69" s="334"/>
      <c r="E69" s="334"/>
      <c r="F69" s="334"/>
      <c r="G69" s="334"/>
      <c r="H69" s="334"/>
      <c r="I69" s="334"/>
      <c r="J69" s="334"/>
      <c r="K69" s="334"/>
      <c r="L69" s="334"/>
      <c r="M69" s="334"/>
      <c r="N69" s="334"/>
      <c r="O69" s="334"/>
      <c r="P69" s="334"/>
      <c r="Q69" s="334"/>
      <c r="R69" s="334"/>
      <c r="S69" s="334"/>
      <c r="T69" s="334"/>
      <c r="U69" s="334"/>
      <c r="V69" s="334"/>
      <c r="W69" s="334"/>
      <c r="X69" s="334"/>
      <c r="Y69" s="334"/>
      <c r="Z69" s="334"/>
      <c r="AA69" s="334"/>
      <c r="AB69" s="334"/>
      <c r="AC69" s="334"/>
      <c r="AD69" s="334"/>
      <c r="AE69" s="334"/>
      <c r="AF69" s="334"/>
      <c r="AG69" s="334"/>
      <c r="AH69" s="334"/>
      <c r="AI69" s="334"/>
      <c r="AJ69" s="334"/>
      <c r="AK69" s="334"/>
      <c r="AL69" s="334"/>
      <c r="AM69" s="334"/>
      <c r="AN69" s="334"/>
      <c r="AO69" s="334"/>
      <c r="AP69" s="334"/>
      <c r="AQ69" s="334"/>
      <c r="AR69" s="334"/>
      <c r="AS69" s="334"/>
      <c r="AT69" s="334"/>
      <c r="AU69" s="334"/>
      <c r="AV69" s="334"/>
      <c r="AW69" s="334"/>
      <c r="AX69" s="334"/>
      <c r="AY69" s="334"/>
      <c r="AZ69" s="334"/>
      <c r="BA69" s="334"/>
      <c r="BB69" s="334"/>
      <c r="BC69" s="334"/>
      <c r="BD69" s="334"/>
      <c r="BE69" s="334"/>
      <c r="BF69" s="334"/>
      <c r="BG69" s="334"/>
      <c r="BH69" s="334"/>
      <c r="BI69" s="334"/>
      <c r="BJ69" s="334"/>
      <c r="BK69" s="33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3" tint="0.59999389629810485"/>
    <outlinePr summaryBelow="0" summaryRight="0"/>
  </sheetPr>
  <dimension ref="A1:J41"/>
  <sheetViews>
    <sheetView showGridLines="0" workbookViewId="0"/>
  </sheetViews>
  <sheetFormatPr defaultColWidth="0" defaultRowHeight="12.75" customHeight="1" zeroHeight="1"/>
  <cols>
    <col min="1" max="1" width="11.6640625" style="169" customWidth="1"/>
    <col min="2" max="2" width="83.77734375" style="169" bestFit="1" customWidth="1"/>
    <col min="3" max="10" width="11.6640625" style="169" customWidth="1"/>
    <col min="11" max="14" width="11.6640625" style="169" hidden="1" customWidth="1"/>
    <col min="15" max="16384" width="11.6640625" style="169" hidden="1"/>
  </cols>
  <sheetData>
    <row r="1" spans="2:2" ht="12.5"/>
    <row r="2" spans="2:2" ht="12.5"/>
    <row r="3" spans="2:2" ht="12.5"/>
    <row r="4" spans="2:2" ht="12.5"/>
    <row r="5" spans="2:2" ht="23">
      <c r="B5" s="202" t="s">
        <v>157</v>
      </c>
    </row>
    <row r="6" spans="2:2" ht="12.5"/>
    <row r="7" spans="2:2" ht="12.5"/>
    <row r="8" spans="2:2" ht="12.5"/>
    <row r="9" spans="2:2" s="257" customFormat="1" ht="23">
      <c r="B9" s="202" t="s">
        <v>42</v>
      </c>
    </row>
    <row r="10" spans="2:2" ht="12.5"/>
    <row r="11" spans="2:2" ht="12.5">
      <c r="B11" s="288" t="s">
        <v>118</v>
      </c>
    </row>
    <row r="12" spans="2:2" ht="12.5">
      <c r="B12" s="288" t="s">
        <v>290</v>
      </c>
    </row>
    <row r="13" spans="2:2" ht="12.5">
      <c r="B13" s="288" t="s">
        <v>24</v>
      </c>
    </row>
    <row r="14" spans="2:2" ht="12.5"/>
    <row r="15" spans="2:2" ht="12.5"/>
    <row r="16" spans="2:2" ht="12.5"/>
    <row r="17" ht="12.5"/>
    <row r="18" ht="12.5"/>
    <row r="19" ht="12.5"/>
    <row r="20" ht="12.5"/>
    <row r="21" ht="12.5"/>
    <row r="22" ht="12.5"/>
    <row r="23" ht="12.5"/>
    <row r="24" ht="12.5"/>
    <row r="25" ht="12.5"/>
    <row r="26" ht="12.5"/>
    <row r="27" ht="12.5"/>
    <row r="28" ht="12.5"/>
    <row r="29" ht="12.5"/>
    <row r="30" ht="12.5"/>
    <row r="31" ht="12.5"/>
    <row r="32" ht="12.5"/>
    <row r="33" ht="12.5"/>
    <row r="34" ht="12.5"/>
    <row r="35" ht="12.5"/>
    <row r="36" ht="12.5"/>
    <row r="37" ht="12.5"/>
    <row r="38" ht="12.5"/>
    <row r="39" ht="12.5"/>
    <row r="40" ht="12.5"/>
    <row r="41" ht="12.5"/>
  </sheetData>
  <pageMargins left="0.7" right="0.7" top="0.75" bottom="0.75" header="0.3" footer="0.3"/>
  <customProperties>
    <customPr name="MMSheetType" r:id="rId1"/>
  </customPropertie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CW138"/>
  <sheetViews>
    <sheetView showGridLines="0" workbookViewId="0"/>
  </sheetViews>
  <sheetFormatPr defaultColWidth="0" defaultRowHeight="10"/>
  <cols>
    <col min="1" max="1" width="36.77734375" style="130" customWidth="1"/>
    <col min="2" max="2" width="28.109375" style="130" customWidth="1"/>
    <col min="3" max="3" width="23.109375" style="130" customWidth="1"/>
    <col min="4" max="4" width="9.33203125" style="130" customWidth="1"/>
    <col min="5" max="26" width="9.33203125" style="130" hidden="1"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Contents</v>
      </c>
    </row>
    <row r="5" spans="1:55" ht="18">
      <c r="A5" s="24" t="s">
        <v>95</v>
      </c>
      <c r="B5" s="166"/>
      <c r="C5" s="166"/>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5.5">
      <c r="A6" s="180" t="str">
        <f>HYPERLINK("#TOCrepobxIncome_Statement_Year","1.Income Statement")</f>
        <v>1.Income Statement</v>
      </c>
      <c r="B6" s="116"/>
      <c r="C6" s="184"/>
    </row>
    <row r="7" spans="1:55" ht="15.5">
      <c r="A7" s="180"/>
      <c r="B7" s="116"/>
      <c r="C7" s="184"/>
    </row>
    <row r="8" spans="1:55" ht="15.5">
      <c r="A8" s="180" t="str">
        <f>HYPERLINK("#TOCrepobxBalance_Sheet_Year","2.Balance Sheet")</f>
        <v>2.Balance Sheet</v>
      </c>
      <c r="B8" s="116"/>
      <c r="C8" s="184"/>
    </row>
    <row r="9" spans="1:55" ht="15.5">
      <c r="A9" s="180"/>
      <c r="B9" s="116"/>
      <c r="C9" s="184"/>
    </row>
    <row r="10" spans="1:55" ht="15.5">
      <c r="A10" s="180" t="str">
        <f>HYPERLINK("#TOCrepobxCashflow_Year","3.Cashflow")</f>
        <v>3.Cashflow</v>
      </c>
      <c r="B10" s="116"/>
      <c r="C10" s="184"/>
    </row>
    <row r="11" spans="1:55" ht="15.5">
      <c r="A11" s="180"/>
      <c r="B11" s="116"/>
      <c r="C11" s="184"/>
    </row>
    <row r="12" spans="1:55" ht="15.5">
      <c r="A12" s="180" t="str">
        <f>HYPERLINK("#TOCrepobxInventory_Report_Year","4.Inventory Report")</f>
        <v>4.Inventory Report</v>
      </c>
      <c r="B12" s="116"/>
      <c r="C12" s="184"/>
    </row>
    <row r="13" spans="1:55" ht="15.5">
      <c r="A13" s="180"/>
      <c r="B13" s="116"/>
      <c r="C13" s="184"/>
    </row>
    <row r="14" spans="1:55" ht="15.5">
      <c r="A14" s="180" t="str">
        <f>HYPERLINK("#TOCrepobxMetrics_Report_Year","5.Metrics Report")</f>
        <v>5.Metrics Report</v>
      </c>
      <c r="B14" s="116"/>
      <c r="C14" s="184"/>
    </row>
    <row r="15" spans="1:55" ht="15.5">
      <c r="A15" s="180"/>
      <c r="B15" s="116"/>
      <c r="C15" s="184"/>
    </row>
    <row r="16" spans="1:55" ht="15.5">
      <c r="A16" s="180" t="str">
        <f>HYPERLINK("#TOCrepobxIncome_Statement_base_Month","6.Income Statement base")</f>
        <v>6.Income Statement base</v>
      </c>
      <c r="B16" s="116"/>
      <c r="C16" s="184"/>
    </row>
    <row r="17" spans="1:3" ht="15.5">
      <c r="A17" s="180"/>
      <c r="B17" s="116"/>
      <c r="C17" s="184"/>
    </row>
    <row r="18" spans="1:3" ht="15.5">
      <c r="A18" s="180" t="str">
        <f>HYPERLINK("#TOCrepobxIncome_Statement_base_1_Quarter","7.Income Statement base 1")</f>
        <v>7.Income Statement base 1</v>
      </c>
      <c r="B18" s="116"/>
      <c r="C18" s="184"/>
    </row>
    <row r="19" spans="1:3" ht="15.5">
      <c r="A19" s="180"/>
      <c r="B19" s="116"/>
      <c r="C19" s="184"/>
    </row>
    <row r="20" spans="1:3" ht="15.5">
      <c r="A20" s="180" t="str">
        <f>HYPERLINK("#TOCrepobxIncome_Statement_base_2_SemiAnnual","8.Income Statement base 2")</f>
        <v>8.Income Statement base 2</v>
      </c>
      <c r="B20" s="116"/>
      <c r="C20" s="184"/>
    </row>
    <row r="21" spans="1:3" ht="15.5">
      <c r="A21" s="180"/>
      <c r="B21" s="116"/>
      <c r="C21" s="184"/>
    </row>
    <row r="22" spans="1:3" ht="15.5">
      <c r="A22" s="180" t="str">
        <f>HYPERLINK("#TOCrepobxBalance_Sheet_base_Month","9.Balance Sheet base")</f>
        <v>9.Balance Sheet base</v>
      </c>
      <c r="B22" s="116"/>
      <c r="C22" s="184"/>
    </row>
    <row r="23" spans="1:3" ht="15.5">
      <c r="A23" s="180"/>
      <c r="B23" s="116"/>
      <c r="C23" s="184"/>
    </row>
    <row r="24" spans="1:3" ht="15.5">
      <c r="A24" s="180" t="str">
        <f>HYPERLINK("#TOCrepobxBalance_Sheet_base_1_Quarter","10.Balance Sheet base 1")</f>
        <v>10.Balance Sheet base 1</v>
      </c>
      <c r="B24" s="116"/>
      <c r="C24" s="184"/>
    </row>
    <row r="25" spans="1:3" ht="15.5">
      <c r="A25" s="180"/>
      <c r="B25" s="116"/>
      <c r="C25" s="184"/>
    </row>
    <row r="26" spans="1:3" ht="15.5">
      <c r="A26" s="180" t="str">
        <f>HYPERLINK("#TOCrepobxBalance_Sheet_base_2_SemiAnnual","11.Balance Sheet base 2")</f>
        <v>11.Balance Sheet base 2</v>
      </c>
      <c r="B26" s="116"/>
      <c r="C26" s="184"/>
    </row>
    <row r="27" spans="1:3" ht="15.5">
      <c r="A27" s="180"/>
      <c r="B27" s="116"/>
      <c r="C27" s="184"/>
    </row>
    <row r="28" spans="1:3" ht="15.5">
      <c r="A28" s="180" t="str">
        <f>HYPERLINK("#TOCrepobxCashflow_base_Month","12.Cashflow base")</f>
        <v>12.Cashflow base</v>
      </c>
      <c r="B28" s="116"/>
      <c r="C28" s="184"/>
    </row>
    <row r="29" spans="1:3" ht="15.5">
      <c r="A29" s="180"/>
      <c r="B29" s="116"/>
      <c r="C29" s="184"/>
    </row>
    <row r="30" spans="1:3" ht="15.5">
      <c r="A30" s="180" t="str">
        <f>HYPERLINK("#TOCrepobxCashflow_base_1_Quarter","13.Cashflow base 1")</f>
        <v>13.Cashflow base 1</v>
      </c>
      <c r="B30" s="116"/>
      <c r="C30" s="184"/>
    </row>
    <row r="31" spans="1:3" ht="15.5">
      <c r="A31" s="180"/>
      <c r="B31" s="116"/>
      <c r="C31" s="184"/>
    </row>
    <row r="32" spans="1:3" ht="15.5">
      <c r="A32" s="180" t="str">
        <f>HYPERLINK("#TOCrepobxCashflow_base_2_SemiAnnual","14.Cashflow base 2")</f>
        <v>14.Cashflow base 2</v>
      </c>
      <c r="B32" s="116"/>
      <c r="C32" s="184"/>
    </row>
    <row r="33" spans="1:101" ht="15.5">
      <c r="A33" s="180"/>
      <c r="B33" s="116"/>
      <c r="C33" s="184"/>
    </row>
    <row r="34" spans="1:101" ht="15.5">
      <c r="A34" s="180" t="str">
        <f>HYPERLINK("#TOCrepobxInventory_Report_base_Month","15.Inventory Report base")</f>
        <v>15.Inventory Report base</v>
      </c>
      <c r="B34" s="116"/>
      <c r="C34" s="184"/>
    </row>
    <row r="35" spans="1:101" ht="15.5">
      <c r="A35" s="180"/>
      <c r="B35" s="116"/>
      <c r="C35" s="184"/>
    </row>
    <row r="36" spans="1:101" ht="15.5">
      <c r="A36" s="180" t="str">
        <f>HYPERLINK("#TOCrepobxInventory_Report_base_1_Quarter","16.Inventory Report base 1")</f>
        <v>16.Inventory Report base 1</v>
      </c>
      <c r="B36" s="116"/>
      <c r="C36" s="184"/>
    </row>
    <row r="37" spans="1:101" ht="15.5">
      <c r="A37" s="180"/>
      <c r="B37" s="116"/>
      <c r="C37" s="184"/>
    </row>
    <row r="38" spans="1:101" ht="15.5">
      <c r="A38" s="180" t="str">
        <f>HYPERLINK("#TOCrepobxInventory_Report_base_2_SemiAnnual","17.Inventory Report base 2")</f>
        <v>17.Inventory Report base 2</v>
      </c>
      <c r="B38" s="116"/>
      <c r="C38" s="184"/>
    </row>
    <row r="39" spans="1:101" ht="15.5">
      <c r="A39" s="180"/>
      <c r="B39" s="116"/>
      <c r="C39" s="184"/>
    </row>
    <row r="40" spans="1:101" ht="15.5">
      <c r="A40" s="180" t="str">
        <f>HYPERLINK("#TOCrepobxMetrics_Report_base_Month","18.Metrics Report base")</f>
        <v>18.Metrics Report base</v>
      </c>
      <c r="B40" s="116"/>
      <c r="C40" s="184"/>
    </row>
    <row r="41" spans="1:101" ht="15.5">
      <c r="A41" s="180"/>
      <c r="B41" s="116"/>
      <c r="C41" s="184"/>
    </row>
    <row r="42" spans="1:101" ht="15.5">
      <c r="A42" s="180" t="str">
        <f>HYPERLINK("#TOCrepobxMetrics_Report_base_1_Quarter","19.Metrics Report base 1")</f>
        <v>19.Metrics Report base 1</v>
      </c>
      <c r="B42" s="116"/>
      <c r="C42" s="184"/>
    </row>
    <row r="43" spans="1:101" ht="15.5">
      <c r="A43" s="180"/>
      <c r="B43" s="116"/>
      <c r="C43" s="184"/>
    </row>
    <row r="44" spans="1:101" ht="15.5">
      <c r="A44" s="180" t="str">
        <f>HYPERLINK("#TOCrepobxMetrics_Report_base_2_SemiAnnual","20.Metrics Report base 2")</f>
        <v>20.Metrics Report base 2</v>
      </c>
      <c r="B44" s="116"/>
      <c r="C44" s="184"/>
    </row>
    <row r="45" spans="1:101" ht="15.5">
      <c r="A45" s="180"/>
      <c r="B45" s="116"/>
      <c r="C45" s="184"/>
    </row>
    <row r="46" spans="1:101" ht="15.5">
      <c r="A46" s="180"/>
      <c r="B46" s="116"/>
      <c r="C46" s="184"/>
    </row>
    <row r="47" spans="1:101" ht="18">
      <c r="A47" s="24" t="s">
        <v>256</v>
      </c>
      <c r="B47" s="24" t="s">
        <v>92</v>
      </c>
      <c r="C47" s="24" t="s">
        <v>121</v>
      </c>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row>
    <row r="48" spans="1:101" ht="15.5">
      <c r="A48" s="180" t="str">
        <f>HYPERLINK("#TOCobxUnallocated", "1.Unallocated")</f>
        <v>1.Unallocated</v>
      </c>
      <c r="B48" s="116"/>
      <c r="C48" s="184"/>
    </row>
    <row r="49" spans="1:3" ht="15.5">
      <c r="A49" s="180"/>
      <c r="B49" s="116"/>
      <c r="C49" s="184"/>
    </row>
    <row r="50" spans="1:3" ht="15.5">
      <c r="A50" s="180" t="str">
        <f>HYPERLINK("#TOCobxInputs", "2.Inputs")</f>
        <v>2.Inputs</v>
      </c>
      <c r="B50" s="116"/>
      <c r="C50" s="184"/>
    </row>
    <row r="51" spans="1:3" ht="15.5">
      <c r="A51" s="180"/>
      <c r="B51" s="116" t="str">
        <f>HYPERLINK("#TOCobxInputs.Model_Constants", "2.1.Model Constants")</f>
        <v>2.1.Model Constants</v>
      </c>
      <c r="C51" s="184"/>
    </row>
    <row r="52" spans="1:3" ht="15.5">
      <c r="A52" s="180"/>
      <c r="B52" s="116" t="str">
        <f>HYPERLINK("#TOCobxInputs.Customer_Orders", "2.2.Customer Orders")</f>
        <v>2.2.Customer Orders</v>
      </c>
      <c r="C52" s="184"/>
    </row>
    <row r="53" spans="1:3" ht="15.5">
      <c r="A53" s="180"/>
      <c r="B53" s="116" t="str">
        <f>HYPERLINK("#TOCobxInputs.Expense", "2.3.Expense")</f>
        <v>2.3.Expense</v>
      </c>
      <c r="C53" s="184"/>
    </row>
    <row r="54" spans="1:3" ht="15.5">
      <c r="A54" s="180"/>
      <c r="B54" s="116" t="str">
        <f>HYPERLINK("#TOCobxInputs.Supplier_orders", "2.4.Supplier orders")</f>
        <v>2.4.Supplier orders</v>
      </c>
      <c r="C54" s="184"/>
    </row>
    <row r="55" spans="1:3" ht="15.5">
      <c r="A55" s="180"/>
      <c r="B55" s="116" t="str">
        <f>HYPERLINK("#TOCobxInputs.Inventory", "2.5.Inventory")</f>
        <v>2.5.Inventory</v>
      </c>
      <c r="C55" s="184"/>
    </row>
    <row r="56" spans="1:3" ht="15.5">
      <c r="A56" s="180"/>
      <c r="B56" s="116" t="str">
        <f>HYPERLINK("#TOCobxInputs.Opening_Balances", "2.6.Opening Balances")</f>
        <v>2.6.Opening Balances</v>
      </c>
      <c r="C56" s="184"/>
    </row>
    <row r="57" spans="1:3" ht="15.5">
      <c r="A57" s="180"/>
      <c r="B57" s="116" t="str">
        <f>HYPERLINK("#TOCobxInputs.Debt", "2.7.Debt")</f>
        <v>2.7.Debt</v>
      </c>
      <c r="C57" s="184"/>
    </row>
    <row r="58" spans="1:3" ht="15.5">
      <c r="A58" s="180"/>
      <c r="B58" s="116"/>
      <c r="C58" s="184" t="str">
        <f>HYPERLINK("#TOCobxInputs.Debt.Invoice_Finance", "2.7.1.Invoice Finance")</f>
        <v>2.7.1.Invoice Finance</v>
      </c>
    </row>
    <row r="59" spans="1:3" ht="15.5">
      <c r="A59" s="180"/>
      <c r="B59" s="116"/>
      <c r="C59" s="184" t="str">
        <f>HYPERLINK("#TOCobxInputs.Debt.Supply_Chain_Finance", "2.7.2.Supply Chain Finance")</f>
        <v>2.7.2.Supply Chain Finance</v>
      </c>
    </row>
    <row r="60" spans="1:3" ht="15.5">
      <c r="A60" s="180"/>
      <c r="B60" s="116"/>
      <c r="C60" s="184" t="str">
        <f>HYPERLINK("#TOCobxInputs.Debt.Asset_Finance", "2.7.3.Asset Finance")</f>
        <v>2.7.3.Asset Finance</v>
      </c>
    </row>
    <row r="61" spans="1:3" ht="15.5">
      <c r="A61" s="180"/>
      <c r="B61" s="116" t="str">
        <f>HYPERLINK("#TOCobxInputs.VAT", "2.8.VAT")</f>
        <v>2.8.VAT</v>
      </c>
      <c r="C61" s="184"/>
    </row>
    <row r="62" spans="1:3" ht="15.5">
      <c r="A62" s="180"/>
      <c r="B62" s="116" t="str">
        <f>HYPERLINK("#TOCobxInputs.Corporation_Tax", "2.9.Corporation Tax")</f>
        <v>2.9.Corporation Tax</v>
      </c>
      <c r="C62" s="184"/>
    </row>
    <row r="63" spans="1:3" ht="15.5">
      <c r="A63" s="180"/>
      <c r="B63" s="116" t="str">
        <f>HYPERLINK("#TOCobxInputs.Equity", "2.10.Equity")</f>
        <v>2.10.Equity</v>
      </c>
      <c r="C63" s="184"/>
    </row>
    <row r="64" spans="1:3" ht="15.5">
      <c r="A64" s="180"/>
      <c r="B64" s="116" t="str">
        <f>HYPERLINK("#TOCobxInputs.Short_term_forecast", "2.11.Short term forecast")</f>
        <v>2.11.Short term forecast</v>
      </c>
      <c r="C64" s="184"/>
    </row>
    <row r="65" spans="1:3" ht="15.5">
      <c r="A65" s="180"/>
      <c r="B65" s="116"/>
      <c r="C65" s="184"/>
    </row>
    <row r="66" spans="1:3" ht="15.5">
      <c r="A66" s="180" t="str">
        <f>HYPERLINK("#TOCobxTime", "3.Time")</f>
        <v>3.Time</v>
      </c>
      <c r="B66" s="116"/>
      <c r="C66" s="184"/>
    </row>
    <row r="67" spans="1:3" ht="15.5">
      <c r="A67" s="180"/>
      <c r="B67" s="116" t="str">
        <f>HYPERLINK("#TOCobxTime.Headers", "3.1.Headers")</f>
        <v>3.1.Headers</v>
      </c>
      <c r="C67" s="184"/>
    </row>
    <row r="68" spans="1:3" ht="15.5">
      <c r="A68" s="180"/>
      <c r="B68" s="116" t="str">
        <f>HYPERLINK("#TOCobxTime.Customer_Order_Growth_index", "3.2.Customer Order Growth index")</f>
        <v>3.2.Customer Order Growth index</v>
      </c>
      <c r="C68" s="184"/>
    </row>
    <row r="69" spans="1:3" ht="15.5">
      <c r="A69" s="180"/>
      <c r="B69" s="116" t="str">
        <f>HYPERLINK("#TOCobxTime.Fixed_Operating_Cost_Growth_Rate_index", "3.3.Fixed Operating Cost Growth Rate index")</f>
        <v>3.3.Fixed Operating Cost Growth Rate index</v>
      </c>
      <c r="C69" s="184"/>
    </row>
    <row r="70" spans="1:3" ht="15.5">
      <c r="A70" s="180"/>
      <c r="B70" s="116" t="str">
        <f>HYPERLINK("#TOCobxTime.Debts_flags", "3.4.Debts flags")</f>
        <v>3.4.Debts flags</v>
      </c>
      <c r="C70" s="184"/>
    </row>
    <row r="71" spans="1:3" ht="15.5">
      <c r="A71" s="180"/>
      <c r="B71" s="116" t="str">
        <f>HYPERLINK("#TOCobxTime.VAT_return_this_period_flag", "3.5.VAT return this period flag")</f>
        <v>3.5.VAT return this period flag</v>
      </c>
      <c r="C71" s="184"/>
    </row>
    <row r="72" spans="1:3" ht="15.5">
      <c r="A72" s="180"/>
      <c r="B72" s="116" t="str">
        <f>HYPERLINK("#TOCobxTime.Use_short_term_forecast_flag", "3.6.Use short term forecast flag")</f>
        <v>3.6.Use short term forecast flag</v>
      </c>
      <c r="C72" s="184"/>
    </row>
    <row r="73" spans="1:3" ht="15.5">
      <c r="A73" s="180"/>
      <c r="B73" s="116" t="str">
        <f>HYPERLINK("#TOCobxTime.Model_timelines", "3.7.Model timelines")</f>
        <v>3.7.Model timelines</v>
      </c>
      <c r="C73" s="184"/>
    </row>
    <row r="74" spans="1:3" ht="15.5">
      <c r="A74" s="180"/>
      <c r="B74" s="116"/>
      <c r="C74" s="184"/>
    </row>
    <row r="75" spans="1:3" ht="15.5">
      <c r="A75" s="180" t="str">
        <f>HYPERLINK("#TOCobxMetrics", "4.Metrics")</f>
        <v>4.Metrics</v>
      </c>
      <c r="B75" s="116"/>
      <c r="C75" s="184"/>
    </row>
    <row r="76" spans="1:3" ht="15.5">
      <c r="A76" s="180"/>
      <c r="B76" s="116"/>
      <c r="C76" s="184"/>
    </row>
    <row r="77" spans="1:3" ht="15.5">
      <c r="A77" s="180" t="str">
        <f>HYPERLINK("#TOCobxFinancials", "5.Financials")</f>
        <v>5.Financials</v>
      </c>
      <c r="B77" s="116"/>
      <c r="C77" s="184"/>
    </row>
    <row r="78" spans="1:3" ht="15.5">
      <c r="A78" s="180"/>
      <c r="B78" s="116"/>
      <c r="C78" s="184"/>
    </row>
    <row r="79" spans="1:3" ht="15.5">
      <c r="A79" s="180" t="str">
        <f>HYPERLINK("#TOCobxCustomers", "6.Customers")</f>
        <v>6.Customers</v>
      </c>
      <c r="B79" s="116"/>
      <c r="C79" s="184"/>
    </row>
    <row r="80" spans="1:3" ht="15.5">
      <c r="A80" s="180"/>
      <c r="B80" s="116"/>
      <c r="C80" s="184"/>
    </row>
    <row r="81" spans="1:3" ht="15.5">
      <c r="A81" s="180" t="str">
        <f>HYPERLINK("#TOCobxIncome", "7.Income")</f>
        <v>7.Income</v>
      </c>
      <c r="B81" s="116"/>
      <c r="C81" s="184"/>
    </row>
    <row r="82" spans="1:3" ht="15.5">
      <c r="A82" s="180"/>
      <c r="B82" s="116"/>
      <c r="C82" s="184"/>
    </row>
    <row r="83" spans="1:3" ht="15.5">
      <c r="A83" s="180" t="str">
        <f>HYPERLINK("#TOCobxInventory", "8.Inventory")</f>
        <v>8.Inventory</v>
      </c>
      <c r="B83" s="116"/>
      <c r="C83" s="184"/>
    </row>
    <row r="84" spans="1:3" ht="15.5">
      <c r="A84" s="180"/>
      <c r="B84" s="116"/>
      <c r="C84" s="184"/>
    </row>
    <row r="85" spans="1:3" ht="15.5">
      <c r="A85" s="180" t="str">
        <f>HYPERLINK("#TOCobxAssets", "9.Assets")</f>
        <v>9.Assets</v>
      </c>
      <c r="B85" s="116"/>
      <c r="C85" s="184"/>
    </row>
    <row r="86" spans="1:3" ht="15.5">
      <c r="A86" s="180"/>
      <c r="B86" s="116"/>
      <c r="C86" s="184"/>
    </row>
    <row r="87" spans="1:3" ht="15.5">
      <c r="A87" s="217" t="str">
        <f>HYPERLINK("#TOCobxExpense", "10.Expense")</f>
        <v>10.Expense</v>
      </c>
      <c r="B87" s="116"/>
      <c r="C87" s="184"/>
    </row>
    <row r="88" spans="1:3" ht="15.5">
      <c r="A88" s="217"/>
      <c r="B88" s="116"/>
      <c r="C88" s="184"/>
    </row>
    <row r="89" spans="1:3" ht="15.5">
      <c r="A89" s="217" t="str">
        <f>HYPERLINK("#TOCobxWorking_Capital", "11.Working Capital")</f>
        <v>11.Working Capital</v>
      </c>
      <c r="B89" s="116"/>
      <c r="C89" s="184"/>
    </row>
    <row r="90" spans="1:3" ht="15.5">
      <c r="A90" s="217"/>
      <c r="B90" s="116"/>
      <c r="C90" s="184"/>
    </row>
    <row r="91" spans="1:3" ht="15.5">
      <c r="A91" s="217" t="str">
        <f>HYPERLINK("#TOCobxInvoice_finance", "12.Invoice finance")</f>
        <v>12.Invoice finance</v>
      </c>
      <c r="B91" s="116"/>
      <c r="C91" s="184"/>
    </row>
    <row r="92" spans="1:3" ht="15.5">
      <c r="A92" s="217"/>
      <c r="B92" s="116"/>
      <c r="C92" s="184"/>
    </row>
    <row r="93" spans="1:3" ht="15.5">
      <c r="A93" s="217" t="str">
        <f>HYPERLINK("#TOCobxSupply_Chain_finance", "13.Supply Chain finance")</f>
        <v>13.Supply Chain finance</v>
      </c>
      <c r="B93" s="116"/>
      <c r="C93" s="184"/>
    </row>
    <row r="94" spans="1:3" ht="15.5">
      <c r="A94" s="217"/>
      <c r="B94" s="116"/>
      <c r="C94" s="184"/>
    </row>
    <row r="95" spans="1:3" ht="15.5">
      <c r="A95" s="217" t="str">
        <f>HYPERLINK("#TOCobxAsset_Finance", "14.Asset Finance")</f>
        <v>14.Asset Finance</v>
      </c>
      <c r="B95" s="116"/>
      <c r="C95" s="184"/>
    </row>
    <row r="96" spans="1:3" ht="15.5">
      <c r="A96" s="217"/>
      <c r="B96" s="116"/>
      <c r="C96" s="184"/>
    </row>
    <row r="97" spans="1:3" ht="15.5">
      <c r="A97" s="217" t="str">
        <f>HYPERLINK("#TOCobxVAT", "15.VAT")</f>
        <v>15.VAT</v>
      </c>
      <c r="B97" s="116"/>
      <c r="C97" s="184"/>
    </row>
    <row r="98" spans="1:3" ht="15.5">
      <c r="A98" s="217"/>
      <c r="B98" s="116"/>
      <c r="C98" s="184"/>
    </row>
    <row r="99" spans="1:3" ht="15.5">
      <c r="A99" s="217" t="str">
        <f>HYPERLINK("#TOCobxCorporation_tax", "16.Corporation tax")</f>
        <v>16.Corporation tax</v>
      </c>
      <c r="B99" s="116"/>
      <c r="C99" s="184"/>
    </row>
    <row r="100" spans="1:3" ht="15.5">
      <c r="A100" s="217"/>
      <c r="B100" s="116" t="str">
        <f>HYPERLINK("#TOCobxCorporation_tax.Tax_losses", "16.1.Tax losses")</f>
        <v>16.1.Tax losses</v>
      </c>
      <c r="C100" s="184"/>
    </row>
    <row r="101" spans="1:3" ht="15.5">
      <c r="A101" s="217"/>
      <c r="B101" s="116" t="str">
        <f>HYPERLINK("#TOCobxCorporation_tax.Corporation_tax_creditor", "16.2.Corporation tax creditor")</f>
        <v>16.2.Corporation tax creditor</v>
      </c>
      <c r="C101" s="184"/>
    </row>
    <row r="102" spans="1:3" ht="15.5">
      <c r="A102" s="217"/>
      <c r="B102" s="116"/>
      <c r="C102" s="184"/>
    </row>
    <row r="103" spans="1:3" ht="15.5">
      <c r="A103" s="217" t="str">
        <f>HYPERLINK("#TOCobxEquity", "17.Equity")</f>
        <v>17.Equity</v>
      </c>
      <c r="B103" s="116"/>
      <c r="C103" s="184"/>
    </row>
    <row r="104" spans="1:3" ht="15.5">
      <c r="A104" s="217"/>
      <c r="B104" s="116"/>
      <c r="C104" s="184"/>
    </row>
    <row r="105" spans="1:3" ht="15.5">
      <c r="A105" s="217" t="str">
        <f>HYPERLINK("#TOCobxModel_Checks_and_Alerts", "18.Model Checks and Alerts")</f>
        <v>18.Model Checks and Alerts</v>
      </c>
      <c r="B105" s="116"/>
      <c r="C105" s="184"/>
    </row>
    <row r="106" spans="1:3" ht="15.5">
      <c r="A106" s="217"/>
      <c r="B106" s="116" t="str">
        <f>HYPERLINK("#TOCobxModel_Checks_and_Alerts.Model_Checks", "18.1.Model Checks")</f>
        <v>18.1.Model Checks</v>
      </c>
      <c r="C106" s="184"/>
    </row>
    <row r="107" spans="1:3" ht="15.5">
      <c r="A107" s="217"/>
      <c r="B107" s="116"/>
      <c r="C107" s="184"/>
    </row>
    <row r="108" spans="1:3" ht="15.5">
      <c r="A108" s="217"/>
      <c r="B108" s="116"/>
      <c r="C108" s="184"/>
    </row>
    <row r="109" spans="1:3" ht="15.5">
      <c r="A109" s="217"/>
      <c r="B109" s="116"/>
      <c r="C109" s="184"/>
    </row>
    <row r="110" spans="1:3" ht="15.5">
      <c r="A110" s="217"/>
      <c r="B110" s="116"/>
      <c r="C110" s="184"/>
    </row>
    <row r="111" spans="1:3" ht="15.5">
      <c r="A111" s="217"/>
      <c r="B111" s="116"/>
      <c r="C111" s="184"/>
    </row>
    <row r="112" spans="1:3" ht="15.5">
      <c r="A112" s="217"/>
      <c r="B112" s="116"/>
      <c r="C112" s="184"/>
    </row>
    <row r="113" spans="1:3" ht="15.5">
      <c r="A113" s="217"/>
      <c r="B113" s="116"/>
      <c r="C113" s="184"/>
    </row>
    <row r="114" spans="1:3" ht="15.5">
      <c r="A114" s="217"/>
      <c r="B114" s="116"/>
      <c r="C114" s="184"/>
    </row>
    <row r="115" spans="1:3" ht="15.5">
      <c r="A115" s="217"/>
      <c r="B115" s="116"/>
      <c r="C115" s="184"/>
    </row>
    <row r="116" spans="1:3" ht="15.5">
      <c r="A116" s="217"/>
      <c r="B116" s="116"/>
      <c r="C116" s="184"/>
    </row>
    <row r="117" spans="1:3" ht="15.5">
      <c r="A117" s="217"/>
      <c r="B117" s="116"/>
      <c r="C117" s="184"/>
    </row>
    <row r="118" spans="1:3" ht="15.5">
      <c r="A118" s="217"/>
      <c r="B118" s="116"/>
      <c r="C118" s="184"/>
    </row>
    <row r="119" spans="1:3" ht="15.5">
      <c r="A119" s="217"/>
      <c r="B119" s="116"/>
      <c r="C119" s="184"/>
    </row>
    <row r="120" spans="1:3" ht="15.5">
      <c r="A120" s="217"/>
      <c r="B120" s="116"/>
      <c r="C120" s="184"/>
    </row>
    <row r="121" spans="1:3" ht="15.5">
      <c r="A121" s="217"/>
      <c r="B121" s="116"/>
      <c r="C121" s="184"/>
    </row>
    <row r="122" spans="1:3" ht="15.5">
      <c r="A122" s="217"/>
      <c r="B122" s="116"/>
      <c r="C122" s="184"/>
    </row>
    <row r="123" spans="1:3" ht="15.5">
      <c r="A123" s="217"/>
      <c r="B123" s="116"/>
      <c r="C123" s="184"/>
    </row>
    <row r="124" spans="1:3" ht="15.5">
      <c r="A124" s="217"/>
      <c r="B124" s="116"/>
      <c r="C124" s="184"/>
    </row>
    <row r="125" spans="1:3" ht="15.5">
      <c r="A125" s="217"/>
      <c r="B125" s="116"/>
      <c r="C125" s="184"/>
    </row>
    <row r="126" spans="1:3" ht="15.5">
      <c r="A126" s="217"/>
      <c r="B126" s="116"/>
      <c r="C126" s="184"/>
    </row>
    <row r="127" spans="1:3" ht="15.5">
      <c r="A127" s="217"/>
      <c r="B127" s="116"/>
      <c r="C127" s="184"/>
    </row>
    <row r="128" spans="1:3" ht="15.5">
      <c r="A128" s="217"/>
      <c r="B128" s="116"/>
      <c r="C128" s="184"/>
    </row>
    <row r="129" spans="1:3" ht="15.5">
      <c r="A129" s="217"/>
      <c r="B129" s="116"/>
      <c r="C129" s="184"/>
    </row>
    <row r="130" spans="1:3" ht="15.5">
      <c r="A130" s="217"/>
      <c r="B130" s="116"/>
      <c r="C130" s="184"/>
    </row>
    <row r="131" spans="1:3" ht="15.5">
      <c r="A131" s="217"/>
      <c r="B131" s="116"/>
      <c r="C131" s="184"/>
    </row>
    <row r="132" spans="1:3" ht="15.5">
      <c r="A132" s="217"/>
      <c r="B132" s="116"/>
      <c r="C132" s="184"/>
    </row>
    <row r="133" spans="1:3" ht="15.5">
      <c r="A133" s="217"/>
      <c r="B133" s="116"/>
      <c r="C133" s="184"/>
    </row>
    <row r="134" spans="1:3" ht="15.5">
      <c r="A134" s="217"/>
      <c r="B134" s="116"/>
      <c r="C134" s="184"/>
    </row>
    <row r="135" spans="1:3" ht="15.5">
      <c r="A135" s="217"/>
      <c r="B135" s="116"/>
      <c r="C135" s="184"/>
    </row>
    <row r="136" spans="1:3" ht="15.5">
      <c r="A136" s="217"/>
      <c r="B136" s="116"/>
      <c r="C136" s="184"/>
    </row>
    <row r="137" spans="1:3" ht="15.5">
      <c r="A137" s="217"/>
      <c r="B137" s="116"/>
      <c r="C137" s="116"/>
    </row>
    <row r="138" spans="1:3" ht="15.5">
      <c r="A138" s="217"/>
      <c r="B138" s="116"/>
      <c r="C138" s="116"/>
    </row>
  </sheetData>
  <pageMargins left="0.7" right="0.7" top="0.75" bottom="0.75" header="0.3" footer="0.3"/>
  <pageSetup orientation="portrait"/>
  <customProperties>
    <customPr name="MMSheetTyp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99"/>
    <outlinePr summaryBelow="0" summaryRight="0"/>
  </sheetPr>
  <dimension ref="A1:W104"/>
  <sheetViews>
    <sheetView showGridLines="0" defaultGridColor="0" colorId="22" zoomScale="80" workbookViewId="0">
      <pane xSplit="10" ySplit="9" topLeftCell="K10" activePane="bottomRight" state="frozen"/>
      <selection pane="topRight" activeCell="K1" sqref="K1"/>
      <selection pane="bottomLeft" activeCell="A10" sqref="A10"/>
      <selection pane="bottomRight" activeCell="D1" sqref="D1:D1048576"/>
    </sheetView>
  </sheetViews>
  <sheetFormatPr defaultColWidth="0" defaultRowHeight="14.5" outlineLevelRow="1"/>
  <cols>
    <col min="1" max="1" width="1.77734375" style="284" customWidth="1"/>
    <col min="2" max="3" width="1.77734375" style="191" customWidth="1"/>
    <col min="4" max="4" width="1.77734375" style="241" customWidth="1"/>
    <col min="5" max="5" width="72.33203125" style="191" bestFit="1" customWidth="1"/>
    <col min="6" max="6" width="19.33203125" style="191" customWidth="1"/>
    <col min="7" max="8" width="47.33203125" style="96" customWidth="1"/>
    <col min="9" max="9" width="5.109375" style="278" customWidth="1"/>
    <col min="10" max="10" width="1.44140625" style="67" customWidth="1"/>
    <col min="11" max="13" width="19.33203125" style="96" customWidth="1"/>
    <col min="14" max="14" width="1.44140625" style="67" customWidth="1"/>
    <col min="15" max="18" width="14.77734375" style="96" bestFit="1" customWidth="1"/>
    <col min="19" max="24" width="11.44140625" style="96" hidden="1" customWidth="1"/>
    <col min="25" max="16384" width="11.44140625" style="96" hidden="1"/>
  </cols>
  <sheetData>
    <row r="1" spans="1:23" ht="25">
      <c r="A1" s="46" t="str">
        <f ca="1">RIGHT(CELL("filename", A1), LEN(CELL("filename", A1)) - SEARCH("]", CELL("filename", A1)))</f>
        <v>InpC</v>
      </c>
      <c r="B1" s="108"/>
      <c r="C1" s="139"/>
      <c r="D1" s="142"/>
      <c r="E1" s="88"/>
      <c r="F1" s="53" t="str">
        <f>HYPERLINK("#Contents!A1","Go to contents")</f>
        <v>Go to contents</v>
      </c>
      <c r="G1" s="88"/>
      <c r="H1" s="88"/>
      <c r="I1" s="88"/>
      <c r="J1" s="120"/>
      <c r="K1" s="88"/>
      <c r="L1" s="88"/>
      <c r="M1" s="88"/>
      <c r="N1" s="120"/>
    </row>
    <row r="2" spans="1:23" ht="36.75" customHeight="1">
      <c r="A2" s="6"/>
      <c r="B2" s="6"/>
      <c r="C2" s="265"/>
      <c r="D2" s="283"/>
      <c r="E2" s="134"/>
      <c r="F2" s="134"/>
      <c r="G2" s="134"/>
      <c r="H2" s="134"/>
      <c r="I2" s="108"/>
      <c r="J2" s="205"/>
      <c r="K2" s="152" t="str">
        <f>IF(K3 = $F3, "q", "")</f>
        <v>q</v>
      </c>
      <c r="L2" s="152" t="str">
        <f>IF(L3 = $F3, "q", "")</f>
        <v/>
      </c>
      <c r="M2" s="152" t="str">
        <f>IF(M3 = $F3, "q", "")</f>
        <v/>
      </c>
      <c r="N2" s="205"/>
    </row>
    <row r="3" spans="1:23" ht="14.25" customHeight="1">
      <c r="A3" s="108"/>
      <c r="B3" s="108"/>
      <c r="C3" s="139"/>
      <c r="D3" s="142"/>
      <c r="E3" s="6"/>
      <c r="F3" s="245" t="str">
        <f>INDEX(J3:S3,MATCH(F4,J4:S4,0))</f>
        <v>Base case 1</v>
      </c>
      <c r="G3" s="218"/>
      <c r="H3" s="6"/>
      <c r="I3" s="88"/>
      <c r="J3" s="197"/>
      <c r="K3" s="112" t="s">
        <v>231</v>
      </c>
      <c r="L3" s="112" t="s">
        <v>310</v>
      </c>
      <c r="M3" s="112" t="s">
        <v>69</v>
      </c>
      <c r="N3" s="197"/>
      <c r="O3" s="112" t="s">
        <v>309</v>
      </c>
      <c r="P3" s="112" t="s">
        <v>43</v>
      </c>
      <c r="Q3" s="112" t="s">
        <v>142</v>
      </c>
      <c r="R3" s="112" t="s">
        <v>232</v>
      </c>
    </row>
    <row r="4" spans="1:23">
      <c r="A4" s="175"/>
      <c r="B4" s="175"/>
      <c r="C4" s="233"/>
      <c r="D4" s="273"/>
      <c r="E4" s="15" t="s">
        <v>120</v>
      </c>
      <c r="F4" s="247">
        <v>1</v>
      </c>
      <c r="G4" s="15"/>
      <c r="H4" s="15"/>
      <c r="I4" s="256">
        <f>MATCH(F4, $J$4:$S$4, 0)</f>
        <v>2</v>
      </c>
      <c r="J4" s="118"/>
      <c r="K4" s="105">
        <v>1</v>
      </c>
      <c r="L4" s="105">
        <v>2</v>
      </c>
      <c r="M4" s="105">
        <v>3</v>
      </c>
      <c r="N4" s="118"/>
      <c r="O4" s="131">
        <v>4</v>
      </c>
      <c r="P4" s="131">
        <v>5</v>
      </c>
      <c r="Q4" s="131">
        <v>6</v>
      </c>
      <c r="R4" s="131">
        <v>7</v>
      </c>
    </row>
    <row r="5" spans="1:23">
      <c r="A5" s="175"/>
      <c r="B5" s="175"/>
      <c r="C5" s="233"/>
      <c r="D5" s="273"/>
      <c r="E5" s="15" t="s">
        <v>141</v>
      </c>
      <c r="F5" s="285">
        <v>1</v>
      </c>
      <c r="G5" s="15"/>
      <c r="H5" s="15"/>
      <c r="I5" s="256">
        <f>MATCH(F5, $J$4:$S$4, 0)</f>
        <v>2</v>
      </c>
      <c r="J5" s="118"/>
      <c r="K5" s="15"/>
      <c r="L5" s="15"/>
      <c r="M5" s="15"/>
      <c r="N5" s="118"/>
      <c r="O5" s="15"/>
      <c r="P5" s="15"/>
      <c r="Q5" s="15"/>
      <c r="R5" s="15"/>
    </row>
    <row r="6" spans="1:23">
      <c r="A6" s="175"/>
      <c r="B6" s="175"/>
      <c r="C6" s="233"/>
      <c r="D6" s="273"/>
      <c r="E6" s="15" t="s">
        <v>159</v>
      </c>
      <c r="F6" s="251">
        <f>INDEX(J6:S6,MATCH(F4,J4:S4,0))</f>
        <v>1</v>
      </c>
      <c r="G6" s="15"/>
      <c r="H6" s="15"/>
      <c r="I6" s="256">
        <f>MATCH(F6, $J$4:$S$4, 0)</f>
        <v>2</v>
      </c>
      <c r="J6" s="118"/>
      <c r="K6" s="105">
        <v>1</v>
      </c>
      <c r="L6" s="105">
        <v>2</v>
      </c>
      <c r="M6" s="105">
        <v>3</v>
      </c>
      <c r="N6" s="118"/>
      <c r="O6" s="105">
        <v>1</v>
      </c>
      <c r="P6" s="105">
        <v>1</v>
      </c>
      <c r="Q6" s="105">
        <v>2</v>
      </c>
      <c r="R6" s="105">
        <v>2</v>
      </c>
    </row>
    <row r="7" spans="1:23">
      <c r="A7" s="108"/>
      <c r="B7" s="108"/>
      <c r="C7" s="139"/>
      <c r="D7" s="142"/>
      <c r="E7" s="15" t="s">
        <v>68</v>
      </c>
      <c r="F7" s="261">
        <f>COUNTIF( $I$13:$I$104, "tu" )</f>
        <v>0</v>
      </c>
      <c r="G7" s="15"/>
      <c r="H7" s="15"/>
      <c r="J7" s="118"/>
      <c r="K7" s="137" t="str">
        <f>IF(K6 = $F$5, "Base case", "")</f>
        <v>Base case</v>
      </c>
      <c r="L7" s="137" t="str">
        <f>IF(L6 = $F$5, "Base case", "")</f>
        <v/>
      </c>
      <c r="M7" s="137" t="str">
        <f>IF(M6 = $F$5, "Base case", "")</f>
        <v/>
      </c>
      <c r="N7" s="118"/>
      <c r="O7" s="15"/>
      <c r="P7" s="15"/>
      <c r="Q7" s="15"/>
      <c r="R7" s="15"/>
    </row>
    <row r="8" spans="1:23">
      <c r="A8" s="108"/>
      <c r="B8" s="108"/>
      <c r="C8" s="139"/>
      <c r="D8" s="142"/>
      <c r="E8" s="96"/>
      <c r="F8" s="96"/>
      <c r="I8" s="280"/>
      <c r="J8" s="120"/>
      <c r="K8" s="88"/>
      <c r="L8" s="88"/>
      <c r="M8" s="88"/>
      <c r="N8" s="120"/>
    </row>
    <row r="9" spans="1:23">
      <c r="A9" s="108"/>
      <c r="B9" s="108"/>
      <c r="C9" s="139"/>
      <c r="D9" s="142"/>
      <c r="E9" s="88"/>
      <c r="F9" s="108" t="s">
        <v>254</v>
      </c>
      <c r="G9" s="108" t="s">
        <v>229</v>
      </c>
      <c r="H9" s="108" t="s">
        <v>94</v>
      </c>
      <c r="I9" s="98"/>
      <c r="J9" s="120"/>
      <c r="K9" s="88"/>
      <c r="L9" s="88"/>
      <c r="M9" s="88"/>
      <c r="N9" s="120"/>
    </row>
    <row r="10" spans="1:23">
      <c r="A10" s="108"/>
      <c r="B10" s="108"/>
      <c r="C10" s="139"/>
      <c r="D10" s="142"/>
      <c r="E10" s="88"/>
      <c r="F10" s="108"/>
      <c r="G10" s="108"/>
      <c r="H10" s="108"/>
      <c r="I10" s="98"/>
      <c r="J10" s="120"/>
      <c r="K10" s="88"/>
      <c r="L10" s="88"/>
      <c r="M10" s="88"/>
      <c r="N10" s="120"/>
    </row>
    <row r="11" spans="1:23">
      <c r="A11" s="108"/>
      <c r="B11" s="108"/>
      <c r="C11" s="139"/>
      <c r="D11" s="142"/>
      <c r="E11" s="88"/>
      <c r="F11" s="108"/>
      <c r="G11" s="108"/>
      <c r="H11" s="108"/>
      <c r="I11" s="98"/>
      <c r="J11" s="120"/>
      <c r="K11" s="88"/>
      <c r="L11" s="88"/>
      <c r="M11" s="88"/>
      <c r="N11" s="120"/>
    </row>
    <row r="12" spans="1:23">
      <c r="A12" s="108"/>
      <c r="B12" s="108"/>
      <c r="C12" s="139"/>
      <c r="D12" s="142"/>
      <c r="E12" s="88" t="s">
        <v>120</v>
      </c>
      <c r="F12" s="93">
        <f>IF(INDEX(J12:X12,$I$4)="",INDEX(J12:X12,$I$6),INDEX(J12:X12,$I$4))</f>
        <v>1</v>
      </c>
      <c r="G12" s="88" t="s">
        <v>257</v>
      </c>
      <c r="H12" s="108"/>
      <c r="I12" s="98" t="str">
        <f>IF( INDEX(J12:S12, I$5) = "", IF( INDEX(J12:S12, I$4) = F12, "vw", "tu"), IF(INDEX(J12:S12, I$5) = F12, "vw", "tu"))</f>
        <v>vw</v>
      </c>
      <c r="J12" s="120"/>
      <c r="K12" s="16">
        <v>1</v>
      </c>
      <c r="L12" s="16">
        <v>2</v>
      </c>
      <c r="M12" s="16">
        <v>3</v>
      </c>
      <c r="N12" s="120"/>
      <c r="O12" s="16">
        <v>4</v>
      </c>
      <c r="P12" s="16">
        <v>5</v>
      </c>
      <c r="Q12" s="16">
        <v>6</v>
      </c>
      <c r="R12" s="16">
        <v>7</v>
      </c>
      <c r="T12" s="42"/>
      <c r="U12" s="42"/>
      <c r="V12" s="42"/>
      <c r="W12" s="42"/>
    </row>
    <row r="13" spans="1:23">
      <c r="A13" s="108"/>
      <c r="B13" s="108"/>
      <c r="C13" s="139"/>
      <c r="D13" s="142"/>
      <c r="E13" s="88"/>
      <c r="F13" s="88"/>
      <c r="G13" s="88"/>
      <c r="H13" s="88"/>
      <c r="I13" s="98" t="str">
        <f>IF( INDEX(J13:S13, I$5) = "", IF( INDEX(J13:S13, I$4) = F13, "vw", "tu"), IF(INDEX(J13:S13, I$5) = F13, "vw", "tu"))</f>
        <v>vw</v>
      </c>
      <c r="J13" s="120"/>
      <c r="K13" s="88"/>
      <c r="L13" s="88"/>
      <c r="M13" s="88"/>
      <c r="N13" s="120"/>
      <c r="O13" s="42"/>
      <c r="P13" s="42"/>
      <c r="Q13" s="42"/>
      <c r="R13" s="42"/>
    </row>
    <row r="14" spans="1:23">
      <c r="A14" s="108" t="s">
        <v>334</v>
      </c>
      <c r="B14" s="108"/>
      <c r="C14" s="139"/>
      <c r="D14" s="142"/>
      <c r="E14" s="88"/>
      <c r="F14" s="88"/>
      <c r="G14" s="88"/>
      <c r="H14" s="88"/>
      <c r="I14" s="98"/>
      <c r="J14" s="120"/>
      <c r="K14" s="88"/>
      <c r="L14" s="88"/>
      <c r="M14" s="88"/>
      <c r="N14" s="120"/>
    </row>
    <row r="15" spans="1:23">
      <c r="A15" s="338"/>
      <c r="B15" s="339"/>
      <c r="C15" s="339"/>
      <c r="D15" s="340"/>
      <c r="E15" s="70" t="s">
        <v>258</v>
      </c>
      <c r="F15" s="101">
        <f t="shared" ref="F15:F23" si="0">IF(INDEX(J15:X15,$I$4)="",INDEX(J15:X15,$I$6),INDEX(J15:X15,$I$4))</f>
        <v>0.9</v>
      </c>
      <c r="G15" s="70" t="s">
        <v>209</v>
      </c>
      <c r="H15" s="100"/>
      <c r="I15" s="98" t="str">
        <f t="shared" ref="I15:I23" si="1">IF( INDEX(J15:S15, I$5) = "", IF( INDEX(J15:S15, I$4) = F15, "vw", "tu"), IF(INDEX(J15:S15, I$5) = F15, "vw", "tu"))</f>
        <v>vw</v>
      </c>
      <c r="J15" s="69"/>
      <c r="K15" s="31">
        <f>SQRInputBindings!I3</f>
        <v>0.9</v>
      </c>
      <c r="L15" s="31">
        <v>0.9</v>
      </c>
      <c r="M15" s="31">
        <v>0.9</v>
      </c>
      <c r="N15" s="69"/>
      <c r="O15" s="31">
        <v>0.9</v>
      </c>
      <c r="P15" s="31">
        <v>0.9</v>
      </c>
      <c r="Q15" s="31">
        <v>0.9</v>
      </c>
      <c r="R15" s="31">
        <v>0.9</v>
      </c>
      <c r="T15" s="42"/>
      <c r="U15" s="42"/>
      <c r="V15" s="42"/>
      <c r="W15" s="42"/>
    </row>
    <row r="16" spans="1:23">
      <c r="A16" s="338"/>
      <c r="B16" s="339"/>
      <c r="C16" s="339"/>
      <c r="D16" s="340"/>
      <c r="E16" s="66" t="s">
        <v>186</v>
      </c>
      <c r="F16" s="93">
        <f t="shared" si="0"/>
        <v>500</v>
      </c>
      <c r="G16" s="66" t="s">
        <v>122</v>
      </c>
      <c r="I16" s="98" t="str">
        <f t="shared" si="1"/>
        <v>vw</v>
      </c>
      <c r="K16" s="16">
        <f>SQRInputBindings!I4</f>
        <v>500</v>
      </c>
      <c r="L16" s="16">
        <v>500</v>
      </c>
      <c r="M16" s="16"/>
      <c r="O16" s="16"/>
      <c r="P16" s="16"/>
      <c r="Q16" s="16"/>
      <c r="R16" s="16"/>
      <c r="T16" s="42"/>
      <c r="U16" s="42"/>
      <c r="V16" s="42"/>
      <c r="W16" s="42"/>
    </row>
    <row r="17" spans="1:23">
      <c r="A17" s="338"/>
      <c r="B17" s="339"/>
      <c r="C17" s="339"/>
      <c r="D17" s="340"/>
      <c r="E17" s="70" t="s">
        <v>70</v>
      </c>
      <c r="F17" s="101">
        <f t="shared" si="0"/>
        <v>1</v>
      </c>
      <c r="G17" s="70" t="s">
        <v>209</v>
      </c>
      <c r="H17" s="100"/>
      <c r="I17" s="98" t="str">
        <f t="shared" si="1"/>
        <v>vw</v>
      </c>
      <c r="J17" s="69"/>
      <c r="K17" s="31">
        <f>SQRInputBindings!I5</f>
        <v>1</v>
      </c>
      <c r="L17" s="31">
        <v>1</v>
      </c>
      <c r="M17" s="31">
        <v>1</v>
      </c>
      <c r="N17" s="69"/>
      <c r="O17" s="31">
        <v>1</v>
      </c>
      <c r="P17" s="31">
        <v>1</v>
      </c>
      <c r="Q17" s="31">
        <v>1</v>
      </c>
      <c r="R17" s="31">
        <v>1</v>
      </c>
      <c r="T17" s="42"/>
      <c r="U17" s="42"/>
      <c r="V17" s="42"/>
      <c r="W17" s="42"/>
    </row>
    <row r="18" spans="1:23">
      <c r="A18" s="338"/>
      <c r="B18" s="339"/>
      <c r="C18" s="339"/>
      <c r="D18" s="340"/>
      <c r="E18" s="66" t="s">
        <v>210</v>
      </c>
      <c r="F18" s="93">
        <f t="shared" si="0"/>
        <v>1</v>
      </c>
      <c r="G18" s="66"/>
      <c r="I18" s="98" t="str">
        <f t="shared" si="1"/>
        <v>vw</v>
      </c>
      <c r="K18" s="16">
        <f>SQRInputBindings!I6</f>
        <v>1</v>
      </c>
      <c r="L18" s="16">
        <v>1</v>
      </c>
      <c r="M18" s="16">
        <v>1</v>
      </c>
      <c r="O18" s="16">
        <v>1</v>
      </c>
      <c r="P18" s="16">
        <v>1</v>
      </c>
      <c r="Q18" s="16">
        <v>1</v>
      </c>
      <c r="R18" s="16">
        <v>1</v>
      </c>
      <c r="T18" s="42"/>
      <c r="U18" s="42"/>
      <c r="V18" s="42"/>
      <c r="W18" s="42"/>
    </row>
    <row r="19" spans="1:23">
      <c r="A19" s="338"/>
      <c r="B19" s="339"/>
      <c r="C19" s="339"/>
      <c r="D19" s="340"/>
      <c r="E19" s="66" t="s">
        <v>187</v>
      </c>
      <c r="F19" s="93">
        <f t="shared" si="0"/>
        <v>0</v>
      </c>
      <c r="G19" s="66" t="s">
        <v>122</v>
      </c>
      <c r="I19" s="98" t="str">
        <f t="shared" si="1"/>
        <v>vw</v>
      </c>
      <c r="K19" s="16">
        <f>SQRInputBindings!I7</f>
        <v>0</v>
      </c>
      <c r="L19" s="16">
        <v>0</v>
      </c>
      <c r="M19" s="16">
        <v>0</v>
      </c>
      <c r="O19" s="16">
        <v>0</v>
      </c>
      <c r="P19" s="16">
        <v>0</v>
      </c>
      <c r="Q19" s="16">
        <v>0</v>
      </c>
      <c r="R19" s="16">
        <v>0</v>
      </c>
      <c r="T19" s="42"/>
      <c r="U19" s="42"/>
      <c r="V19" s="42"/>
      <c r="W19" s="42"/>
    </row>
    <row r="20" spans="1:23">
      <c r="A20" s="338"/>
      <c r="B20" s="339"/>
      <c r="C20" s="339"/>
      <c r="D20" s="340"/>
      <c r="E20" s="66" t="s">
        <v>313</v>
      </c>
      <c r="F20" s="93">
        <f t="shared" si="0"/>
        <v>2</v>
      </c>
      <c r="G20" s="66" t="s">
        <v>71</v>
      </c>
      <c r="I20" s="98" t="str">
        <f t="shared" si="1"/>
        <v>vw</v>
      </c>
      <c r="K20" s="16">
        <f>SQRInputBindings!I8</f>
        <v>2</v>
      </c>
      <c r="L20" s="16"/>
      <c r="M20" s="16"/>
      <c r="O20" s="16"/>
      <c r="P20" s="16"/>
      <c r="Q20" s="16"/>
      <c r="R20" s="16"/>
      <c r="T20" s="42"/>
      <c r="U20" s="42"/>
      <c r="V20" s="42"/>
      <c r="W20" s="42"/>
    </row>
    <row r="21" spans="1:23">
      <c r="A21" s="338"/>
      <c r="B21" s="339"/>
      <c r="C21" s="339"/>
      <c r="D21" s="340"/>
      <c r="E21" s="66" t="s">
        <v>275</v>
      </c>
      <c r="F21" s="93">
        <f t="shared" si="0"/>
        <v>35</v>
      </c>
      <c r="G21" s="66" t="s">
        <v>257</v>
      </c>
      <c r="I21" s="98" t="str">
        <f t="shared" si="1"/>
        <v>vw</v>
      </c>
      <c r="K21" s="16">
        <f>SQRInputBindings!I9</f>
        <v>35</v>
      </c>
      <c r="L21" s="16"/>
      <c r="M21" s="16"/>
      <c r="O21" s="16"/>
      <c r="P21" s="16"/>
      <c r="Q21" s="16"/>
      <c r="R21" s="16"/>
      <c r="T21" s="42"/>
      <c r="U21" s="42"/>
      <c r="V21" s="42"/>
      <c r="W21" s="42"/>
    </row>
    <row r="22" spans="1:23">
      <c r="A22" s="338"/>
      <c r="B22" s="339"/>
      <c r="C22" s="339"/>
      <c r="D22" s="340"/>
      <c r="E22" s="66" t="s">
        <v>276</v>
      </c>
      <c r="F22" s="93">
        <f t="shared" si="0"/>
        <v>24</v>
      </c>
      <c r="G22" s="66" t="s">
        <v>71</v>
      </c>
      <c r="I22" s="98" t="str">
        <f t="shared" si="1"/>
        <v>vw</v>
      </c>
      <c r="K22" s="16">
        <f>SQRInputBindings!I10</f>
        <v>24</v>
      </c>
      <c r="L22" s="16"/>
      <c r="M22" s="16"/>
      <c r="O22" s="16"/>
      <c r="P22" s="16"/>
      <c r="Q22" s="16"/>
      <c r="R22" s="16"/>
      <c r="T22" s="42"/>
      <c r="U22" s="42"/>
      <c r="V22" s="42"/>
      <c r="W22" s="42"/>
    </row>
    <row r="23" spans="1:23">
      <c r="A23" s="338"/>
      <c r="B23" s="339"/>
      <c r="C23" s="339"/>
      <c r="D23" s="340"/>
      <c r="E23" s="66" t="s">
        <v>3</v>
      </c>
      <c r="F23" s="93">
        <f t="shared" si="0"/>
        <v>12</v>
      </c>
      <c r="G23" s="66" t="s">
        <v>71</v>
      </c>
      <c r="I23" s="98" t="str">
        <f t="shared" si="1"/>
        <v>vw</v>
      </c>
      <c r="K23" s="16">
        <f>SQRInputBindings!I11</f>
        <v>12</v>
      </c>
      <c r="L23" s="16">
        <v>12</v>
      </c>
      <c r="M23" s="16">
        <v>12</v>
      </c>
      <c r="O23" s="16">
        <v>12</v>
      </c>
      <c r="P23" s="16">
        <v>12</v>
      </c>
      <c r="Q23" s="16">
        <v>12</v>
      </c>
      <c r="R23" s="16">
        <v>12</v>
      </c>
      <c r="T23" s="42"/>
      <c r="U23" s="42"/>
      <c r="V23" s="42"/>
      <c r="W23" s="42"/>
    </row>
    <row r="24" spans="1:23">
      <c r="A24" s="338"/>
      <c r="B24" s="339"/>
      <c r="C24" s="339"/>
      <c r="D24" s="340"/>
      <c r="K24" s="96">
        <f>SQRInputBindings!I12</f>
        <v>0</v>
      </c>
    </row>
    <row r="25" spans="1:23">
      <c r="A25" s="338" t="s">
        <v>162</v>
      </c>
      <c r="B25" s="339"/>
      <c r="C25" s="339"/>
      <c r="D25" s="340"/>
      <c r="K25" s="96">
        <f>SQRInputBindings!I13</f>
        <v>0</v>
      </c>
    </row>
    <row r="26" spans="1:23">
      <c r="A26" s="338"/>
      <c r="B26" s="339"/>
      <c r="C26" s="339"/>
      <c r="D26" s="340"/>
      <c r="E26" s="66" t="s">
        <v>99</v>
      </c>
      <c r="F26" s="93">
        <f t="shared" ref="F26:F29" si="2">IF(INDEX(J26:X26,$I$4)="",INDEX(J26:X26,$I$6),INDEX(J26:X26,$I$4))</f>
        <v>25000</v>
      </c>
      <c r="G26" s="66" t="s">
        <v>257</v>
      </c>
      <c r="I26" s="98" t="str">
        <f>IF( INDEX(J26:S26, I$5) = "", IF( INDEX(J26:S26, I$4) = F26, "vw", "tu"), IF(INDEX(J26:S26, I$5) = F26, "vw", "tu"))</f>
        <v>vw</v>
      </c>
      <c r="K26" s="16">
        <f>SQRInputBindings!I14</f>
        <v>25000</v>
      </c>
      <c r="L26" s="16">
        <v>25000</v>
      </c>
      <c r="M26" s="16">
        <v>25000</v>
      </c>
      <c r="O26" s="16">
        <v>25000</v>
      </c>
      <c r="P26" s="16">
        <v>25000</v>
      </c>
      <c r="Q26" s="16">
        <v>25000</v>
      </c>
      <c r="R26" s="16">
        <v>25000</v>
      </c>
      <c r="T26" s="42"/>
      <c r="U26" s="42"/>
      <c r="V26" s="42"/>
      <c r="W26" s="42"/>
    </row>
    <row r="27" spans="1:23">
      <c r="A27" s="338"/>
      <c r="B27" s="339"/>
      <c r="C27" s="339"/>
      <c r="D27" s="340"/>
      <c r="E27" s="70" t="s">
        <v>335</v>
      </c>
      <c r="F27" s="101">
        <f t="shared" si="2"/>
        <v>0.1</v>
      </c>
      <c r="G27" s="70" t="s">
        <v>209</v>
      </c>
      <c r="H27" s="100"/>
      <c r="I27" s="98" t="str">
        <f>IF( INDEX(J27:S27, I$5) = "", IF( INDEX(J27:S27, I$4) = F27, "vw", "tu"), IF(INDEX(J27:S27, I$5) = F27, "vw", "tu"))</f>
        <v>vw</v>
      </c>
      <c r="J27" s="69"/>
      <c r="K27" s="31">
        <f>SQRInputBindings!I15</f>
        <v>0.1</v>
      </c>
      <c r="L27" s="31">
        <v>0.1</v>
      </c>
      <c r="M27" s="31">
        <v>0.1</v>
      </c>
      <c r="N27" s="69"/>
      <c r="O27" s="31">
        <v>0.1</v>
      </c>
      <c r="P27" s="31">
        <v>0.1</v>
      </c>
      <c r="Q27" s="31">
        <v>0.1</v>
      </c>
      <c r="R27" s="31">
        <v>0.1</v>
      </c>
      <c r="T27" s="42"/>
      <c r="U27" s="42"/>
      <c r="V27" s="42"/>
      <c r="W27" s="42"/>
    </row>
    <row r="28" spans="1:23">
      <c r="A28" s="338"/>
      <c r="B28" s="339"/>
      <c r="C28" s="339"/>
      <c r="D28" s="340"/>
      <c r="E28" s="66" t="s">
        <v>314</v>
      </c>
      <c r="F28" s="93">
        <f t="shared" si="2"/>
        <v>3</v>
      </c>
      <c r="G28" s="66" t="s">
        <v>71</v>
      </c>
      <c r="I28" s="98" t="str">
        <f>IF( INDEX(J28:S28, I$5) = "", IF( INDEX(J28:S28, I$4) = F28, "vw", "tu"), IF(INDEX(J28:S28, I$5) = F28, "vw", "tu"))</f>
        <v>vw</v>
      </c>
      <c r="K28" s="16">
        <f>SQRInputBindings!I16</f>
        <v>3</v>
      </c>
      <c r="L28" s="16">
        <v>3</v>
      </c>
      <c r="M28" s="16">
        <v>3</v>
      </c>
      <c r="O28" s="16">
        <v>3</v>
      </c>
      <c r="P28" s="16">
        <v>3</v>
      </c>
      <c r="Q28" s="16">
        <v>3</v>
      </c>
      <c r="R28" s="16">
        <v>3</v>
      </c>
      <c r="T28" s="42"/>
      <c r="U28" s="42"/>
      <c r="V28" s="42"/>
      <c r="W28" s="42"/>
    </row>
    <row r="29" spans="1:23">
      <c r="A29" s="338"/>
      <c r="B29" s="339"/>
      <c r="C29" s="339"/>
      <c r="D29" s="340"/>
      <c r="E29" s="70" t="s">
        <v>315</v>
      </c>
      <c r="F29" s="101">
        <f t="shared" si="2"/>
        <v>0.05</v>
      </c>
      <c r="G29" s="70" t="s">
        <v>209</v>
      </c>
      <c r="H29" s="100"/>
      <c r="I29" s="98" t="str">
        <f>IF( INDEX(J29:S29, I$5) = "", IF( INDEX(J29:S29, I$4) = F29, "vw", "tu"), IF(INDEX(J29:S29, I$5) = F29, "vw", "tu"))</f>
        <v>vw</v>
      </c>
      <c r="J29" s="69"/>
      <c r="K29" s="31">
        <f>SQRInputBindings!I17</f>
        <v>0.05</v>
      </c>
      <c r="L29" s="31">
        <v>0.05</v>
      </c>
      <c r="M29" s="31">
        <v>0.05</v>
      </c>
      <c r="N29" s="69"/>
      <c r="O29" s="31">
        <v>0.05</v>
      </c>
      <c r="P29" s="31">
        <v>0.05</v>
      </c>
      <c r="Q29" s="31">
        <v>0.05</v>
      </c>
      <c r="R29" s="31">
        <v>0.05</v>
      </c>
      <c r="T29" s="42"/>
      <c r="U29" s="42"/>
      <c r="V29" s="42"/>
      <c r="W29" s="42"/>
    </row>
    <row r="30" spans="1:23">
      <c r="A30" s="338"/>
      <c r="B30" s="339"/>
      <c r="C30" s="339"/>
      <c r="D30" s="340"/>
      <c r="K30" s="96">
        <f>SQRInputBindings!I18</f>
        <v>0</v>
      </c>
    </row>
    <row r="31" spans="1:23">
      <c r="A31" s="338" t="s">
        <v>26</v>
      </c>
      <c r="B31" s="339"/>
      <c r="C31" s="339"/>
      <c r="D31" s="340"/>
      <c r="K31" s="96">
        <f>SQRInputBindings!I19</f>
        <v>0</v>
      </c>
    </row>
    <row r="32" spans="1:23">
      <c r="A32" s="338"/>
      <c r="B32" s="339"/>
      <c r="C32" s="339"/>
      <c r="D32" s="340"/>
      <c r="E32" s="66" t="s">
        <v>72</v>
      </c>
      <c r="F32" s="93">
        <f t="shared" ref="F32:F36" si="3">IF(INDEX(J32:X32,$I$4)="",INDEX(J32:X32,$I$6),INDEX(J32:X32,$I$4))</f>
        <v>1000</v>
      </c>
      <c r="G32" s="66" t="s">
        <v>122</v>
      </c>
      <c r="I32" s="98" t="str">
        <f>IF( INDEX(J32:S32, I$5) = "", IF( INDEX(J32:S32, I$4) = F32, "vw", "tu"), IF(INDEX(J32:S32, I$5) = F32, "vw", "tu"))</f>
        <v>vw</v>
      </c>
      <c r="K32" s="16">
        <f>SQRInputBindings!I20</f>
        <v>1000</v>
      </c>
      <c r="L32" s="16">
        <v>500</v>
      </c>
      <c r="M32" s="16">
        <v>1000</v>
      </c>
      <c r="O32" s="16">
        <v>1000</v>
      </c>
      <c r="P32" s="16">
        <v>1000</v>
      </c>
      <c r="Q32" s="16">
        <v>1000</v>
      </c>
      <c r="R32" s="16">
        <v>1000</v>
      </c>
      <c r="T32" s="42"/>
      <c r="U32" s="42"/>
      <c r="V32" s="42"/>
      <c r="W32" s="42"/>
    </row>
    <row r="33" spans="1:23">
      <c r="A33" s="338"/>
      <c r="B33" s="339"/>
      <c r="C33" s="339"/>
      <c r="D33" s="340"/>
      <c r="E33" s="70" t="s">
        <v>47</v>
      </c>
      <c r="F33" s="101">
        <f t="shared" si="3"/>
        <v>0.3</v>
      </c>
      <c r="G33" s="70" t="s">
        <v>209</v>
      </c>
      <c r="H33" s="100"/>
      <c r="I33" s="98" t="str">
        <f>IF( INDEX(J33:S33, I$5) = "", IF( INDEX(J33:S33, I$4) = F33, "vw", "tu"), IF(INDEX(J33:S33, I$5) = F33, "vw", "tu"))</f>
        <v>vw</v>
      </c>
      <c r="J33" s="69"/>
      <c r="K33" s="31">
        <f>SQRInputBindings!I21</f>
        <v>0.3</v>
      </c>
      <c r="L33" s="31">
        <v>1</v>
      </c>
      <c r="M33" s="31"/>
      <c r="N33" s="69"/>
      <c r="O33" s="31"/>
      <c r="P33" s="31"/>
      <c r="Q33" s="31"/>
      <c r="R33" s="31"/>
      <c r="T33" s="42"/>
      <c r="U33" s="42"/>
      <c r="V33" s="42"/>
      <c r="W33" s="42"/>
    </row>
    <row r="34" spans="1:23">
      <c r="A34" s="338"/>
      <c r="B34" s="339"/>
      <c r="C34" s="339"/>
      <c r="D34" s="340"/>
      <c r="E34" s="66" t="s">
        <v>48</v>
      </c>
      <c r="F34" s="93">
        <f t="shared" si="3"/>
        <v>6</v>
      </c>
      <c r="G34" s="66" t="s">
        <v>71</v>
      </c>
      <c r="I34" s="98" t="str">
        <f>IF( INDEX(J34:S34, I$5) = "", IF( INDEX(J34:S34, I$4) = F34, "vw", "tu"), IF(INDEX(J34:S34, I$5) = F34, "vw", "tu"))</f>
        <v>vw</v>
      </c>
      <c r="K34" s="16">
        <f>SQRInputBindings!I22</f>
        <v>6</v>
      </c>
      <c r="L34" s="16">
        <v>1</v>
      </c>
      <c r="M34" s="16"/>
      <c r="O34" s="16"/>
      <c r="P34" s="16"/>
      <c r="Q34" s="16"/>
      <c r="R34" s="16"/>
      <c r="T34" s="42"/>
      <c r="U34" s="42"/>
      <c r="V34" s="42"/>
      <c r="W34" s="42"/>
    </row>
    <row r="35" spans="1:23">
      <c r="A35" s="338"/>
      <c r="B35" s="339"/>
      <c r="C35" s="339"/>
      <c r="D35" s="340"/>
      <c r="E35" s="66" t="s">
        <v>211</v>
      </c>
      <c r="F35" s="93">
        <f t="shared" si="3"/>
        <v>35</v>
      </c>
      <c r="G35" s="66" t="s">
        <v>257</v>
      </c>
      <c r="I35" s="98" t="str">
        <f>IF( INDEX(J35:S35, I$5) = "", IF( INDEX(J35:S35, I$4) = F35, "vw", "tu"), IF(INDEX(J35:S35, I$5) = F35, "vw", "tu"))</f>
        <v>vw</v>
      </c>
      <c r="K35" s="16">
        <f>SQRInputBindings!I23</f>
        <v>35</v>
      </c>
      <c r="L35" s="16">
        <v>0</v>
      </c>
      <c r="M35" s="16"/>
      <c r="O35" s="16"/>
      <c r="P35" s="16"/>
      <c r="Q35" s="16"/>
      <c r="R35" s="16"/>
      <c r="T35" s="42"/>
      <c r="U35" s="42"/>
      <c r="V35" s="42"/>
      <c r="W35" s="42"/>
    </row>
    <row r="36" spans="1:23">
      <c r="A36" s="338"/>
      <c r="B36" s="339"/>
      <c r="C36" s="339"/>
      <c r="D36" s="340"/>
      <c r="E36" s="66" t="s">
        <v>292</v>
      </c>
      <c r="F36" s="93">
        <f t="shared" si="3"/>
        <v>5000</v>
      </c>
      <c r="G36" s="66" t="s">
        <v>122</v>
      </c>
      <c r="I36" s="98" t="str">
        <f>IF( INDEX(J36:S36, I$5) = "", IF( INDEX(J36:S36, I$4) = F36, "vw", "tu"), IF(INDEX(J36:S36, I$5) = F36, "vw", "tu"))</f>
        <v>vw</v>
      </c>
      <c r="K36" s="16">
        <f>SQRInputBindings!I24</f>
        <v>5000</v>
      </c>
      <c r="L36" s="16">
        <v>2</v>
      </c>
      <c r="M36" s="16"/>
      <c r="O36" s="16"/>
      <c r="P36" s="16"/>
      <c r="Q36" s="16"/>
      <c r="R36" s="16"/>
      <c r="T36" s="42"/>
      <c r="U36" s="42"/>
      <c r="V36" s="42"/>
      <c r="W36" s="42"/>
    </row>
    <row r="37" spans="1:23">
      <c r="A37" s="338"/>
      <c r="B37" s="339"/>
      <c r="C37" s="339"/>
      <c r="D37" s="340"/>
      <c r="K37" s="96">
        <f>SQRInputBindings!I25</f>
        <v>0</v>
      </c>
    </row>
    <row r="38" spans="1:23">
      <c r="A38" s="338" t="s">
        <v>212</v>
      </c>
      <c r="B38" s="339"/>
      <c r="C38" s="339"/>
      <c r="D38" s="340"/>
      <c r="K38" s="96">
        <f>SQRInputBindings!I26</f>
        <v>0</v>
      </c>
    </row>
    <row r="39" spans="1:23">
      <c r="A39" s="338"/>
      <c r="B39" s="339"/>
      <c r="C39" s="339"/>
      <c r="D39" s="340"/>
      <c r="E39" s="66" t="s">
        <v>234</v>
      </c>
      <c r="F39" s="93">
        <f t="shared" ref="F39:F43" si="4">IF(INDEX(J39:X39,$I$4)="",INDEX(J39:X39,$I$6),INDEX(J39:X39,$I$4))</f>
        <v>0</v>
      </c>
      <c r="G39" s="66" t="s">
        <v>122</v>
      </c>
      <c r="I39" s="98" t="str">
        <f>IF( INDEX(J39:S39, I$5) = "", IF( INDEX(J39:S39, I$4) = F39, "vw", "tu"), IF(INDEX(J39:S39, I$5) = F39, "vw", "tu"))</f>
        <v>vw</v>
      </c>
      <c r="K39" s="16">
        <f>SQRInputBindings!I27</f>
        <v>0</v>
      </c>
      <c r="L39" s="16">
        <v>12</v>
      </c>
      <c r="M39" s="16">
        <v>0</v>
      </c>
      <c r="O39" s="16">
        <v>0</v>
      </c>
      <c r="P39" s="16">
        <v>0</v>
      </c>
      <c r="Q39" s="16">
        <v>0</v>
      </c>
      <c r="R39" s="16">
        <v>0</v>
      </c>
      <c r="T39" s="42"/>
      <c r="U39" s="42"/>
      <c r="V39" s="42"/>
      <c r="W39" s="42"/>
    </row>
    <row r="40" spans="1:23">
      <c r="A40" s="338"/>
      <c r="B40" s="339"/>
      <c r="C40" s="339"/>
      <c r="D40" s="340"/>
      <c r="E40" s="66" t="s">
        <v>163</v>
      </c>
      <c r="F40" s="93">
        <f t="shared" si="4"/>
        <v>24</v>
      </c>
      <c r="G40" s="66" t="s">
        <v>71</v>
      </c>
      <c r="I40" s="98" t="str">
        <f>IF( INDEX(J40:S40, I$5) = "", IF( INDEX(J40:S40, I$4) = F40, "vw", "tu"), IF(INDEX(J40:S40, I$5) = F40, "vw", "tu"))</f>
        <v>vw</v>
      </c>
      <c r="K40" s="16">
        <f>SQRInputBindings!I28</f>
        <v>24</v>
      </c>
      <c r="L40" s="16"/>
      <c r="M40" s="16"/>
      <c r="O40" s="16"/>
      <c r="P40" s="16"/>
      <c r="Q40" s="16"/>
      <c r="R40" s="16"/>
      <c r="T40" s="42"/>
      <c r="U40" s="42"/>
      <c r="V40" s="42"/>
      <c r="W40" s="42"/>
    </row>
    <row r="41" spans="1:23">
      <c r="A41" s="338"/>
      <c r="B41" s="339"/>
      <c r="C41" s="339"/>
      <c r="D41" s="340"/>
      <c r="E41" s="66" t="s">
        <v>336</v>
      </c>
      <c r="F41" s="93">
        <f t="shared" si="4"/>
        <v>0</v>
      </c>
      <c r="G41" s="66" t="s">
        <v>122</v>
      </c>
      <c r="I41" s="98" t="str">
        <f>IF( INDEX(J41:S41, I$5) = "", IF( INDEX(J41:S41, I$4) = F41, "vw", "tu"), IF(INDEX(J41:S41, I$5) = F41, "vw", "tu"))</f>
        <v>vw</v>
      </c>
      <c r="K41" s="16">
        <f>SQRInputBindings!I29</f>
        <v>0</v>
      </c>
      <c r="L41" s="16"/>
      <c r="M41" s="16"/>
      <c r="O41" s="16"/>
      <c r="P41" s="16"/>
      <c r="Q41" s="16"/>
      <c r="R41" s="16"/>
      <c r="T41" s="42"/>
      <c r="U41" s="42"/>
      <c r="V41" s="42"/>
      <c r="W41" s="42"/>
    </row>
    <row r="42" spans="1:23">
      <c r="A42" s="338"/>
      <c r="B42" s="339"/>
      <c r="C42" s="339"/>
      <c r="D42" s="340"/>
      <c r="E42" s="66" t="s">
        <v>293</v>
      </c>
      <c r="F42" s="93">
        <f t="shared" si="4"/>
        <v>0</v>
      </c>
      <c r="G42" s="66" t="s">
        <v>122</v>
      </c>
      <c r="I42" s="98" t="str">
        <f>IF( INDEX(J42:S42, I$5) = "", IF( INDEX(J42:S42, I$4) = F42, "vw", "tu"), IF(INDEX(J42:S42, I$5) = F42, "vw", "tu"))</f>
        <v>vw</v>
      </c>
      <c r="K42" s="16">
        <f>SQRInputBindings!I30</f>
        <v>0</v>
      </c>
      <c r="L42" s="16">
        <v>25000</v>
      </c>
      <c r="M42" s="16"/>
      <c r="O42" s="16"/>
      <c r="P42" s="16"/>
      <c r="Q42" s="16"/>
      <c r="R42" s="16"/>
      <c r="T42" s="42"/>
      <c r="U42" s="42"/>
      <c r="V42" s="42"/>
      <c r="W42" s="42"/>
    </row>
    <row r="43" spans="1:23">
      <c r="A43" s="338"/>
      <c r="B43" s="339"/>
      <c r="C43" s="339"/>
      <c r="D43" s="340"/>
      <c r="E43" s="66" t="s">
        <v>164</v>
      </c>
      <c r="F43" s="93">
        <f t="shared" si="4"/>
        <v>0</v>
      </c>
      <c r="G43" s="66" t="s">
        <v>122</v>
      </c>
      <c r="I43" s="98" t="str">
        <f>IF( INDEX(J43:S43, I$5) = "", IF( INDEX(J43:S43, I$4) = F43, "vw", "tu"), IF(INDEX(J43:S43, I$5) = F43, "vw", "tu"))</f>
        <v>vw</v>
      </c>
      <c r="K43" s="16">
        <f>SQRInputBindings!I31</f>
        <v>0</v>
      </c>
      <c r="L43" s="16">
        <v>0.1</v>
      </c>
      <c r="M43" s="16"/>
      <c r="O43" s="16"/>
      <c r="P43" s="16"/>
      <c r="Q43" s="16"/>
      <c r="R43" s="16"/>
      <c r="T43" s="42"/>
      <c r="U43" s="42"/>
      <c r="V43" s="42"/>
      <c r="W43" s="42"/>
    </row>
    <row r="44" spans="1:23">
      <c r="A44" s="338"/>
      <c r="B44" s="339"/>
      <c r="C44" s="339"/>
      <c r="D44" s="340"/>
      <c r="K44" s="96">
        <f>SQRInputBindings!I32</f>
        <v>0</v>
      </c>
    </row>
    <row r="45" spans="1:23">
      <c r="A45" s="338" t="s">
        <v>100</v>
      </c>
      <c r="B45" s="339"/>
      <c r="C45" s="339"/>
      <c r="D45" s="340"/>
      <c r="K45" s="96">
        <f>SQRInputBindings!I33</f>
        <v>0</v>
      </c>
    </row>
    <row r="46" spans="1:23">
      <c r="A46" s="338"/>
      <c r="B46" s="339"/>
      <c r="C46" s="339"/>
      <c r="D46" s="340"/>
      <c r="E46" s="66" t="s">
        <v>213</v>
      </c>
      <c r="F46" s="93">
        <f t="shared" ref="F46:F54" si="5">IF(INDEX(J46:X46,$I$4)="",INDEX(J46:X46,$I$6),INDEX(J46:X46,$I$4))</f>
        <v>0</v>
      </c>
      <c r="G46" s="66" t="s">
        <v>257</v>
      </c>
      <c r="I46" s="98" t="str">
        <f t="shared" ref="I46:I54" si="6">IF( INDEX(J46:S46, I$5) = "", IF( INDEX(J46:S46, I$4) = F46, "vw", "tu"), IF(INDEX(J46:S46, I$5) = F46, "vw", "tu"))</f>
        <v>vw</v>
      </c>
      <c r="K46" s="16">
        <f>SQRInputBindings!I34</f>
        <v>0</v>
      </c>
      <c r="L46" s="16"/>
      <c r="M46" s="16">
        <v>0</v>
      </c>
      <c r="O46" s="16">
        <v>0</v>
      </c>
      <c r="P46" s="16">
        <v>0</v>
      </c>
      <c r="Q46" s="16">
        <v>0</v>
      </c>
      <c r="R46" s="16">
        <v>0</v>
      </c>
      <c r="T46" s="42"/>
      <c r="U46" s="42"/>
      <c r="V46" s="42"/>
      <c r="W46" s="42"/>
    </row>
    <row r="47" spans="1:23">
      <c r="A47" s="338"/>
      <c r="B47" s="339"/>
      <c r="C47" s="339"/>
      <c r="D47" s="340"/>
      <c r="E47" s="66" t="s">
        <v>4</v>
      </c>
      <c r="F47" s="93">
        <f t="shared" si="5"/>
        <v>0</v>
      </c>
      <c r="G47" s="66" t="s">
        <v>257</v>
      </c>
      <c r="I47" s="98" t="str">
        <f t="shared" si="6"/>
        <v>vw</v>
      </c>
      <c r="K47" s="16">
        <f>SQRInputBindings!I35</f>
        <v>0</v>
      </c>
      <c r="L47" s="16"/>
      <c r="M47" s="16">
        <v>0</v>
      </c>
      <c r="O47" s="16">
        <v>0</v>
      </c>
      <c r="P47" s="16">
        <v>0</v>
      </c>
      <c r="Q47" s="16">
        <v>0</v>
      </c>
      <c r="R47" s="16">
        <v>0</v>
      </c>
      <c r="T47" s="42"/>
      <c r="U47" s="42"/>
      <c r="V47" s="42"/>
      <c r="W47" s="42"/>
    </row>
    <row r="48" spans="1:23">
      <c r="A48" s="338"/>
      <c r="B48" s="339"/>
      <c r="C48" s="339"/>
      <c r="D48" s="340"/>
      <c r="E48" s="66" t="s">
        <v>337</v>
      </c>
      <c r="F48" s="93">
        <f t="shared" si="5"/>
        <v>0</v>
      </c>
      <c r="G48" s="66" t="s">
        <v>257</v>
      </c>
      <c r="I48" s="98" t="str">
        <f t="shared" si="6"/>
        <v>vw</v>
      </c>
      <c r="K48" s="16">
        <f>SQRInputBindings!I36</f>
        <v>0</v>
      </c>
      <c r="L48" s="16">
        <v>1000</v>
      </c>
      <c r="M48" s="16">
        <v>0</v>
      </c>
      <c r="O48" s="16">
        <v>0</v>
      </c>
      <c r="P48" s="16">
        <v>0</v>
      </c>
      <c r="Q48" s="16">
        <v>0</v>
      </c>
      <c r="R48" s="16">
        <v>0</v>
      </c>
      <c r="T48" s="42"/>
      <c r="U48" s="42"/>
      <c r="V48" s="42"/>
      <c r="W48" s="42"/>
    </row>
    <row r="49" spans="1:23">
      <c r="A49" s="338"/>
      <c r="B49" s="339"/>
      <c r="C49" s="339"/>
      <c r="D49" s="340"/>
      <c r="E49" s="66" t="s">
        <v>165</v>
      </c>
      <c r="F49" s="93">
        <f t="shared" si="5"/>
        <v>0</v>
      </c>
      <c r="G49" s="66" t="s">
        <v>257</v>
      </c>
      <c r="I49" s="98" t="str">
        <f t="shared" si="6"/>
        <v>vw</v>
      </c>
      <c r="K49" s="16">
        <f>SQRInputBindings!I37</f>
        <v>0</v>
      </c>
      <c r="L49" s="16">
        <v>0.3</v>
      </c>
      <c r="M49" s="16"/>
      <c r="O49" s="16"/>
      <c r="P49" s="16"/>
      <c r="Q49" s="16"/>
      <c r="R49" s="16"/>
      <c r="T49" s="42"/>
      <c r="U49" s="42"/>
      <c r="V49" s="42"/>
      <c r="W49" s="42"/>
    </row>
    <row r="50" spans="1:23">
      <c r="A50" s="338"/>
      <c r="B50" s="339"/>
      <c r="C50" s="339"/>
      <c r="D50" s="340"/>
      <c r="E50" s="66" t="s">
        <v>188</v>
      </c>
      <c r="F50" s="93">
        <f t="shared" si="5"/>
        <v>0</v>
      </c>
      <c r="G50" s="66" t="s">
        <v>257</v>
      </c>
      <c r="I50" s="98" t="str">
        <f t="shared" si="6"/>
        <v>vw</v>
      </c>
      <c r="K50" s="16">
        <f>SQRInputBindings!I38</f>
        <v>0</v>
      </c>
      <c r="L50" s="16">
        <v>6</v>
      </c>
      <c r="M50" s="16">
        <v>0</v>
      </c>
      <c r="O50" s="16">
        <v>0</v>
      </c>
      <c r="P50" s="16">
        <v>0</v>
      </c>
      <c r="Q50" s="16">
        <v>0</v>
      </c>
      <c r="R50" s="16">
        <v>0</v>
      </c>
      <c r="T50" s="42"/>
      <c r="U50" s="42"/>
      <c r="V50" s="42"/>
      <c r="W50" s="42"/>
    </row>
    <row r="51" spans="1:23">
      <c r="A51" s="338"/>
      <c r="B51" s="339"/>
      <c r="C51" s="339"/>
      <c r="D51" s="340"/>
      <c r="E51" s="66" t="s">
        <v>5</v>
      </c>
      <c r="F51" s="93">
        <f t="shared" si="5"/>
        <v>0</v>
      </c>
      <c r="G51" s="66" t="s">
        <v>257</v>
      </c>
      <c r="I51" s="98" t="str">
        <f t="shared" si="6"/>
        <v>vw</v>
      </c>
      <c r="K51" s="16">
        <f>SQRInputBindings!I39</f>
        <v>0</v>
      </c>
      <c r="L51" s="16">
        <v>35</v>
      </c>
      <c r="M51" s="16">
        <v>0</v>
      </c>
      <c r="O51" s="16">
        <v>0</v>
      </c>
      <c r="P51" s="16">
        <v>0</v>
      </c>
      <c r="Q51" s="16">
        <v>0</v>
      </c>
      <c r="R51" s="16">
        <v>0</v>
      </c>
      <c r="T51" s="42"/>
      <c r="U51" s="42"/>
      <c r="V51" s="42"/>
      <c r="W51" s="42"/>
    </row>
    <row r="52" spans="1:23">
      <c r="A52" s="338"/>
      <c r="B52" s="339"/>
      <c r="C52" s="339"/>
      <c r="D52" s="340"/>
      <c r="E52" s="66" t="s">
        <v>123</v>
      </c>
      <c r="F52" s="93">
        <f t="shared" si="5"/>
        <v>0</v>
      </c>
      <c r="G52" s="66" t="s">
        <v>257</v>
      </c>
      <c r="I52" s="98" t="str">
        <f t="shared" si="6"/>
        <v>vw</v>
      </c>
      <c r="K52" s="16">
        <f>SQRInputBindings!I40</f>
        <v>0</v>
      </c>
      <c r="L52" s="16">
        <v>5000</v>
      </c>
      <c r="M52" s="16">
        <v>0</v>
      </c>
      <c r="O52" s="16">
        <v>0</v>
      </c>
      <c r="P52" s="16">
        <v>0</v>
      </c>
      <c r="Q52" s="16">
        <v>0</v>
      </c>
      <c r="R52" s="16">
        <v>0</v>
      </c>
      <c r="T52" s="42"/>
      <c r="U52" s="42"/>
      <c r="V52" s="42"/>
      <c r="W52" s="42"/>
    </row>
    <row r="53" spans="1:23">
      <c r="A53" s="338"/>
      <c r="B53" s="339"/>
      <c r="C53" s="339"/>
      <c r="D53" s="340"/>
      <c r="E53" s="66" t="s">
        <v>235</v>
      </c>
      <c r="F53" s="93">
        <f t="shared" si="5"/>
        <v>0</v>
      </c>
      <c r="G53" s="66" t="s">
        <v>257</v>
      </c>
      <c r="I53" s="98" t="str">
        <f t="shared" si="6"/>
        <v>vw</v>
      </c>
      <c r="K53" s="16">
        <f>SQRInputBindings!I41</f>
        <v>0</v>
      </c>
      <c r="L53" s="16"/>
      <c r="M53" s="16">
        <v>0</v>
      </c>
      <c r="O53" s="16">
        <v>0</v>
      </c>
      <c r="P53" s="16">
        <v>0</v>
      </c>
      <c r="Q53" s="16">
        <v>0</v>
      </c>
      <c r="R53" s="16">
        <v>0</v>
      </c>
      <c r="T53" s="42"/>
      <c r="U53" s="42"/>
      <c r="V53" s="42"/>
      <c r="W53" s="42"/>
    </row>
    <row r="54" spans="1:23">
      <c r="A54" s="338"/>
      <c r="B54" s="339"/>
      <c r="C54" s="339"/>
      <c r="D54" s="340"/>
      <c r="E54" s="66" t="s">
        <v>73</v>
      </c>
      <c r="F54" s="93">
        <f t="shared" si="5"/>
        <v>0</v>
      </c>
      <c r="G54" s="66" t="s">
        <v>257</v>
      </c>
      <c r="I54" s="98" t="str">
        <f t="shared" si="6"/>
        <v>vw</v>
      </c>
      <c r="K54" s="16">
        <f>SQRInputBindings!I42</f>
        <v>0</v>
      </c>
      <c r="L54" s="16"/>
      <c r="M54" s="16">
        <v>0</v>
      </c>
      <c r="O54" s="16">
        <v>0</v>
      </c>
      <c r="P54" s="16">
        <v>0</v>
      </c>
      <c r="Q54" s="16">
        <v>0</v>
      </c>
      <c r="R54" s="16">
        <v>0</v>
      </c>
      <c r="T54" s="42"/>
      <c r="U54" s="42"/>
      <c r="V54" s="42"/>
      <c r="W54" s="42"/>
    </row>
    <row r="55" spans="1:23">
      <c r="A55" s="338"/>
      <c r="B55" s="339"/>
      <c r="C55" s="339"/>
      <c r="D55" s="340"/>
      <c r="K55" s="96">
        <f>SQRInputBindings!I43</f>
        <v>0</v>
      </c>
    </row>
    <row r="56" spans="1:23">
      <c r="A56" s="338" t="s">
        <v>146</v>
      </c>
      <c r="B56" s="339"/>
      <c r="C56" s="339"/>
      <c r="D56" s="340"/>
      <c r="K56" s="96">
        <f>SQRInputBindings!I44</f>
        <v>0</v>
      </c>
    </row>
    <row r="57" spans="1:23">
      <c r="A57" s="338"/>
      <c r="B57" s="339"/>
      <c r="C57" s="339"/>
      <c r="D57" s="340"/>
      <c r="E57" s="66" t="s">
        <v>277</v>
      </c>
      <c r="F57" s="93">
        <f t="shared" ref="F57:F58" si="7">IF(INDEX(J57:X57,$I$4)="",INDEX(J57:X57,$I$6),INDEX(J57:X57,$I$4))</f>
        <v>30</v>
      </c>
      <c r="G57" s="66" t="s">
        <v>124</v>
      </c>
      <c r="I57" s="98" t="str">
        <f>IF( INDEX(J57:S57, I$5) = "", IF( INDEX(J57:S57, I$4) = F57, "vw", "tu"), IF(INDEX(J57:S57, I$5) = F57, "vw", "tu"))</f>
        <v>vw</v>
      </c>
      <c r="K57" s="16">
        <f>SQRInputBindings!I45</f>
        <v>30</v>
      </c>
      <c r="L57" s="16">
        <v>0</v>
      </c>
      <c r="M57" s="16">
        <v>30</v>
      </c>
      <c r="O57" s="16">
        <v>30</v>
      </c>
      <c r="P57" s="16">
        <v>30</v>
      </c>
      <c r="Q57" s="16">
        <v>30</v>
      </c>
      <c r="R57" s="16">
        <v>30</v>
      </c>
      <c r="T57" s="42"/>
      <c r="U57" s="42"/>
      <c r="V57" s="42"/>
      <c r="W57" s="42"/>
    </row>
    <row r="58" spans="1:23">
      <c r="A58" s="338"/>
      <c r="B58" s="339"/>
      <c r="C58" s="339"/>
      <c r="D58" s="340"/>
      <c r="E58" s="66" t="s">
        <v>294</v>
      </c>
      <c r="F58" s="93">
        <f t="shared" si="7"/>
        <v>360</v>
      </c>
      <c r="G58" s="66" t="s">
        <v>124</v>
      </c>
      <c r="I58" s="98" t="str">
        <f>IF( INDEX(J58:S58, I$5) = "", IF( INDEX(J58:S58, I$4) = F58, "vw", "tu"), IF(INDEX(J58:S58, I$5) = F58, "vw", "tu"))</f>
        <v>vw</v>
      </c>
      <c r="K58" s="16">
        <f>SQRInputBindings!I46</f>
        <v>360</v>
      </c>
      <c r="L58" s="16">
        <v>0</v>
      </c>
      <c r="M58" s="16">
        <v>360</v>
      </c>
      <c r="O58" s="16">
        <v>360</v>
      </c>
      <c r="P58" s="16">
        <v>360</v>
      </c>
      <c r="Q58" s="16">
        <v>360</v>
      </c>
      <c r="R58" s="16">
        <v>360</v>
      </c>
      <c r="T58" s="42"/>
      <c r="U58" s="42"/>
      <c r="V58" s="42"/>
      <c r="W58" s="42"/>
    </row>
    <row r="59" spans="1:23">
      <c r="A59" s="338"/>
      <c r="B59" s="339"/>
      <c r="C59" s="339"/>
      <c r="D59" s="340"/>
      <c r="K59" s="96">
        <f>SQRInputBindings!I47</f>
        <v>0</v>
      </c>
    </row>
    <row r="60" spans="1:23">
      <c r="A60" s="338"/>
      <c r="B60" s="341" t="s">
        <v>6</v>
      </c>
      <c r="C60" s="339"/>
      <c r="D60" s="340"/>
      <c r="K60" s="96">
        <f>SQRInputBindings!I48</f>
        <v>0</v>
      </c>
    </row>
    <row r="61" spans="1:23">
      <c r="A61" s="338"/>
      <c r="B61" s="339"/>
      <c r="C61" s="339"/>
      <c r="D61" s="340"/>
      <c r="E61" s="99" t="s">
        <v>259</v>
      </c>
      <c r="F61" s="124">
        <f t="shared" ref="F61:F65" si="8">IF(INDEX(J61:X61,$I$4)="",INDEX(J61:X61,$I$6),INDEX(J61:X61,$I$4))</f>
        <v>0</v>
      </c>
      <c r="G61" s="99" t="s">
        <v>214</v>
      </c>
      <c r="H61" s="125"/>
      <c r="I61" s="98" t="str">
        <f>IF( INDEX(J61:S61, I$5) = "", IF( INDEX(J61:S61, I$4) = F61, "vw", "tu"), IF(INDEX(J61:S61, I$5) = F61, "vw", "tu"))</f>
        <v>vw</v>
      </c>
      <c r="J61" s="104"/>
      <c r="K61" s="61">
        <f>SQRInputBindings!I49</f>
        <v>0</v>
      </c>
      <c r="L61" s="61"/>
      <c r="M61" s="61"/>
      <c r="N61" s="104"/>
      <c r="O61" s="61"/>
      <c r="P61" s="61"/>
      <c r="Q61" s="61"/>
      <c r="R61" s="61"/>
      <c r="T61" s="42"/>
      <c r="U61" s="42"/>
      <c r="V61" s="42"/>
      <c r="W61" s="42"/>
    </row>
    <row r="62" spans="1:23">
      <c r="A62" s="338"/>
      <c r="B62" s="339"/>
      <c r="C62" s="339"/>
      <c r="D62" s="340"/>
      <c r="E62" s="99" t="s">
        <v>49</v>
      </c>
      <c r="F62" s="124">
        <f t="shared" si="8"/>
        <v>0</v>
      </c>
      <c r="G62" s="99" t="s">
        <v>214</v>
      </c>
      <c r="H62" s="125"/>
      <c r="I62" s="98" t="str">
        <f>IF( INDEX(J62:S62, I$5) = "", IF( INDEX(J62:S62, I$4) = F62, "vw", "tu"), IF(INDEX(J62:S62, I$5) = F62, "vw", "tu"))</f>
        <v>vw</v>
      </c>
      <c r="J62" s="104"/>
      <c r="K62" s="61">
        <f>SQRInputBindings!I50</f>
        <v>0</v>
      </c>
      <c r="L62" s="61">
        <v>0</v>
      </c>
      <c r="M62" s="61"/>
      <c r="N62" s="104"/>
      <c r="O62" s="61"/>
      <c r="P62" s="61"/>
      <c r="Q62" s="61"/>
      <c r="R62" s="61"/>
      <c r="T62" s="42"/>
      <c r="U62" s="42"/>
      <c r="V62" s="42"/>
      <c r="W62" s="42"/>
    </row>
    <row r="63" spans="1:23">
      <c r="A63" s="338"/>
      <c r="B63" s="339"/>
      <c r="C63" s="339"/>
      <c r="D63" s="340"/>
      <c r="E63" s="70" t="s">
        <v>316</v>
      </c>
      <c r="F63" s="101">
        <f t="shared" si="8"/>
        <v>0.9</v>
      </c>
      <c r="G63" s="70" t="s">
        <v>209</v>
      </c>
      <c r="H63" s="100"/>
      <c r="I63" s="98" t="str">
        <f>IF( INDEX(J63:S63, I$5) = "", IF( INDEX(J63:S63, I$4) = F63, "vw", "tu"), IF(INDEX(J63:S63, I$5) = F63, "vw", "tu"))</f>
        <v>vw</v>
      </c>
      <c r="J63" s="69"/>
      <c r="K63" s="31">
        <f>SQRInputBindings!I51</f>
        <v>0.9</v>
      </c>
      <c r="L63" s="31">
        <v>0</v>
      </c>
      <c r="M63" s="31">
        <v>0.9</v>
      </c>
      <c r="N63" s="69"/>
      <c r="O63" s="31">
        <v>0.9</v>
      </c>
      <c r="P63" s="31">
        <v>0.9</v>
      </c>
      <c r="Q63" s="31">
        <v>0.9</v>
      </c>
      <c r="R63" s="31">
        <v>0.9</v>
      </c>
      <c r="T63" s="42"/>
      <c r="U63" s="42"/>
      <c r="V63" s="42"/>
      <c r="W63" s="42"/>
    </row>
    <row r="64" spans="1:23">
      <c r="A64" s="338"/>
      <c r="B64" s="339"/>
      <c r="C64" s="339"/>
      <c r="D64" s="340"/>
      <c r="E64" s="70" t="s">
        <v>27</v>
      </c>
      <c r="F64" s="101">
        <f t="shared" si="8"/>
        <v>8.5000000000000006E-2</v>
      </c>
      <c r="G64" s="70" t="s">
        <v>209</v>
      </c>
      <c r="H64" s="100"/>
      <c r="I64" s="98" t="str">
        <f>IF( INDEX(J64:S64, I$5) = "", IF( INDEX(J64:S64, I$4) = F64, "vw", "tu"), IF(INDEX(J64:S64, I$5) = F64, "vw", "tu"))</f>
        <v>vw</v>
      </c>
      <c r="J64" s="69"/>
      <c r="K64" s="31">
        <f>SQRInputBindings!I52</f>
        <v>8.5000000000000006E-2</v>
      </c>
      <c r="L64" s="31">
        <v>0</v>
      </c>
      <c r="M64" s="31">
        <v>0.1</v>
      </c>
      <c r="N64" s="69"/>
      <c r="O64" s="31">
        <v>0.1</v>
      </c>
      <c r="P64" s="31">
        <v>0.1</v>
      </c>
      <c r="Q64" s="31">
        <v>0.1</v>
      </c>
      <c r="R64" s="31">
        <v>0.1</v>
      </c>
      <c r="T64" s="42"/>
      <c r="U64" s="42"/>
      <c r="V64" s="42"/>
      <c r="W64" s="42"/>
    </row>
    <row r="65" spans="1:23">
      <c r="A65" s="338"/>
      <c r="B65" s="339"/>
      <c r="C65" s="339"/>
      <c r="D65" s="340"/>
      <c r="E65" s="66" t="s">
        <v>215</v>
      </c>
      <c r="F65" s="93">
        <f t="shared" si="8"/>
        <v>0</v>
      </c>
      <c r="G65" s="66" t="s">
        <v>257</v>
      </c>
      <c r="I65" s="98" t="str">
        <f>IF( INDEX(J65:S65, I$5) = "", IF( INDEX(J65:S65, I$4) = F65, "vw", "tu"), IF(INDEX(J65:S65, I$5) = F65, "vw", "tu"))</f>
        <v>vw</v>
      </c>
      <c r="K65" s="16">
        <f>SQRInputBindings!I53</f>
        <v>0</v>
      </c>
      <c r="L65" s="16">
        <v>0</v>
      </c>
      <c r="M65" s="16"/>
      <c r="O65" s="16"/>
      <c r="P65" s="16"/>
      <c r="Q65" s="16"/>
      <c r="R65" s="16"/>
      <c r="T65" s="42"/>
      <c r="U65" s="42"/>
      <c r="V65" s="42"/>
      <c r="W65" s="42"/>
    </row>
    <row r="66" spans="1:23">
      <c r="A66" s="338"/>
      <c r="B66" s="339"/>
      <c r="C66" s="339"/>
      <c r="D66" s="340"/>
      <c r="K66" s="96">
        <f>SQRInputBindings!I54</f>
        <v>0</v>
      </c>
    </row>
    <row r="67" spans="1:23">
      <c r="A67" s="338"/>
      <c r="B67" s="341" t="s">
        <v>166</v>
      </c>
      <c r="C67" s="339"/>
      <c r="D67" s="340"/>
      <c r="K67" s="96">
        <f>SQRInputBindings!I55</f>
        <v>0</v>
      </c>
    </row>
    <row r="68" spans="1:23">
      <c r="A68" s="338"/>
      <c r="B68" s="339"/>
      <c r="C68" s="339"/>
      <c r="D68" s="340"/>
      <c r="E68" s="99" t="s">
        <v>74</v>
      </c>
      <c r="F68" s="124">
        <f t="shared" ref="F68:F72" si="9">IF(INDEX(J68:X68,$I$4)="",INDEX(J68:X68,$I$6),INDEX(J68:X68,$I$4))</f>
        <v>0</v>
      </c>
      <c r="G68" s="99" t="s">
        <v>214</v>
      </c>
      <c r="H68" s="125"/>
      <c r="I68" s="98" t="str">
        <f>IF( INDEX(J68:S68, I$5) = "", IF( INDEX(J68:S68, I$4) = F68, "vw", "tu"), IF(INDEX(J68:S68, I$5) = F68, "vw", "tu"))</f>
        <v>vw</v>
      </c>
      <c r="J68" s="104"/>
      <c r="K68" s="61">
        <f>SQRInputBindings!I56</f>
        <v>0</v>
      </c>
      <c r="L68" s="61">
        <v>0</v>
      </c>
      <c r="M68" s="61"/>
      <c r="N68" s="104"/>
      <c r="O68" s="61"/>
      <c r="P68" s="61"/>
      <c r="Q68" s="61"/>
      <c r="R68" s="61"/>
      <c r="T68" s="42"/>
      <c r="U68" s="42"/>
      <c r="V68" s="42"/>
      <c r="W68" s="42"/>
    </row>
    <row r="69" spans="1:23">
      <c r="A69" s="338"/>
      <c r="B69" s="339"/>
      <c r="C69" s="339"/>
      <c r="D69" s="340"/>
      <c r="E69" s="99" t="s">
        <v>278</v>
      </c>
      <c r="F69" s="124">
        <f t="shared" si="9"/>
        <v>0</v>
      </c>
      <c r="G69" s="99" t="s">
        <v>214</v>
      </c>
      <c r="H69" s="125"/>
      <c r="I69" s="98" t="str">
        <f>IF( INDEX(J69:S69, I$5) = "", IF( INDEX(J69:S69, I$4) = F69, "vw", "tu"), IF(INDEX(J69:S69, I$5) = F69, "vw", "tu"))</f>
        <v>vw</v>
      </c>
      <c r="J69" s="104"/>
      <c r="K69" s="61">
        <f>SQRInputBindings!I57</f>
        <v>0</v>
      </c>
      <c r="L69" s="61">
        <v>0</v>
      </c>
      <c r="M69" s="61"/>
      <c r="N69" s="104"/>
      <c r="O69" s="61"/>
      <c r="P69" s="61"/>
      <c r="Q69" s="61"/>
      <c r="R69" s="61"/>
      <c r="T69" s="42"/>
      <c r="U69" s="42"/>
      <c r="V69" s="42"/>
      <c r="W69" s="42"/>
    </row>
    <row r="70" spans="1:23">
      <c r="A70" s="338"/>
      <c r="B70" s="339"/>
      <c r="C70" s="339"/>
      <c r="D70" s="340"/>
      <c r="E70" s="66" t="s">
        <v>125</v>
      </c>
      <c r="F70" s="93">
        <f t="shared" si="9"/>
        <v>0</v>
      </c>
      <c r="G70" s="66" t="s">
        <v>257</v>
      </c>
      <c r="I70" s="98" t="str">
        <f>IF( INDEX(J70:S70, I$5) = "", IF( INDEX(J70:S70, I$4) = F70, "vw", "tu"), IF(INDEX(J70:S70, I$5) = F70, "vw", "tu"))</f>
        <v>vw</v>
      </c>
      <c r="K70" s="16">
        <f>SQRInputBindings!I58</f>
        <v>0</v>
      </c>
      <c r="L70" s="16">
        <v>0</v>
      </c>
      <c r="M70" s="16">
        <v>0</v>
      </c>
      <c r="O70" s="16">
        <v>0</v>
      </c>
      <c r="P70" s="16">
        <v>0</v>
      </c>
      <c r="Q70" s="16">
        <v>0</v>
      </c>
      <c r="R70" s="16">
        <v>0</v>
      </c>
      <c r="T70" s="42"/>
      <c r="U70" s="42"/>
      <c r="V70" s="42"/>
      <c r="W70" s="42"/>
    </row>
    <row r="71" spans="1:23">
      <c r="A71" s="338"/>
      <c r="B71" s="339"/>
      <c r="C71" s="339"/>
      <c r="D71" s="340"/>
      <c r="E71" s="70" t="s">
        <v>189</v>
      </c>
      <c r="F71" s="101">
        <f t="shared" si="9"/>
        <v>0.08</v>
      </c>
      <c r="G71" s="70" t="s">
        <v>209</v>
      </c>
      <c r="H71" s="100"/>
      <c r="I71" s="98" t="str">
        <f>IF( INDEX(J71:S71, I$5) = "", IF( INDEX(J71:S71, I$4) = F71, "vw", "tu"), IF(INDEX(J71:S71, I$5) = F71, "vw", "tu"))</f>
        <v>vw</v>
      </c>
      <c r="J71" s="69"/>
      <c r="K71" s="31">
        <f>SQRInputBindings!I59</f>
        <v>0.08</v>
      </c>
      <c r="L71" s="31"/>
      <c r="M71" s="31">
        <v>0.08</v>
      </c>
      <c r="N71" s="69"/>
      <c r="O71" s="31">
        <v>0.08</v>
      </c>
      <c r="P71" s="31">
        <v>0.08</v>
      </c>
      <c r="Q71" s="31">
        <v>0.08</v>
      </c>
      <c r="R71" s="31">
        <v>0.08</v>
      </c>
      <c r="T71" s="42"/>
      <c r="U71" s="42"/>
      <c r="V71" s="42"/>
      <c r="W71" s="42"/>
    </row>
    <row r="72" spans="1:23">
      <c r="A72" s="338"/>
      <c r="B72" s="339"/>
      <c r="C72" s="339"/>
      <c r="D72" s="340"/>
      <c r="E72" s="70" t="s">
        <v>295</v>
      </c>
      <c r="F72" s="101">
        <f t="shared" si="9"/>
        <v>0.8</v>
      </c>
      <c r="G72" s="70" t="s">
        <v>209</v>
      </c>
      <c r="H72" s="100"/>
      <c r="I72" s="98" t="str">
        <f>IF( INDEX(J72:S72, I$5) = "", IF( INDEX(J72:S72, I$4) = F72, "vw", "tu"), IF(INDEX(J72:S72, I$5) = F72, "vw", "tu"))</f>
        <v>vw</v>
      </c>
      <c r="J72" s="69"/>
      <c r="K72" s="31">
        <f>SQRInputBindings!I60</f>
        <v>0.8</v>
      </c>
      <c r="L72" s="31"/>
      <c r="M72" s="31">
        <v>0.8</v>
      </c>
      <c r="N72" s="69"/>
      <c r="O72" s="31">
        <v>0.8</v>
      </c>
      <c r="P72" s="31">
        <v>0.8</v>
      </c>
      <c r="Q72" s="31">
        <v>0.8</v>
      </c>
      <c r="R72" s="31">
        <v>0.8</v>
      </c>
      <c r="T72" s="42"/>
      <c r="U72" s="42"/>
      <c r="V72" s="42"/>
      <c r="W72" s="42"/>
    </row>
    <row r="73" spans="1:23">
      <c r="A73" s="338"/>
      <c r="B73" s="339"/>
      <c r="C73" s="339"/>
      <c r="D73" s="340"/>
      <c r="K73" s="96">
        <f>SQRInputBindings!I61</f>
        <v>0</v>
      </c>
    </row>
    <row r="74" spans="1:23">
      <c r="A74" s="338"/>
      <c r="B74" s="341" t="s">
        <v>50</v>
      </c>
      <c r="C74" s="339"/>
      <c r="D74" s="340"/>
      <c r="K74" s="96">
        <f>SQRInputBindings!I62</f>
        <v>0</v>
      </c>
    </row>
    <row r="75" spans="1:23">
      <c r="A75" s="338"/>
      <c r="B75" s="339"/>
      <c r="C75" s="339"/>
      <c r="D75" s="340"/>
      <c r="E75" s="99" t="s">
        <v>296</v>
      </c>
      <c r="F75" s="124">
        <f t="shared" ref="F75:F80" si="10">IF(INDEX(J75:X75,$I$4)="",INDEX(J75:X75,$I$6),INDEX(J75:X75,$I$4))</f>
        <v>0</v>
      </c>
      <c r="G75" s="99" t="s">
        <v>214</v>
      </c>
      <c r="H75" s="125"/>
      <c r="I75" s="98" t="str">
        <f t="shared" ref="I75:I80" si="11">IF( INDEX(J75:S75, I$5) = "", IF( INDEX(J75:S75, I$4) = F75, "vw", "tu"), IF(INDEX(J75:S75, I$5) = F75, "vw", "tu"))</f>
        <v>vw</v>
      </c>
      <c r="J75" s="104"/>
      <c r="K75" s="61">
        <f>SQRInputBindings!I63</f>
        <v>0</v>
      </c>
      <c r="L75" s="61"/>
      <c r="M75" s="61"/>
      <c r="N75" s="104"/>
      <c r="O75" s="61"/>
      <c r="P75" s="61"/>
      <c r="Q75" s="61"/>
      <c r="R75" s="61"/>
      <c r="T75" s="42"/>
      <c r="U75" s="42"/>
      <c r="V75" s="42"/>
      <c r="W75" s="42"/>
    </row>
    <row r="76" spans="1:23">
      <c r="A76" s="338"/>
      <c r="B76" s="339"/>
      <c r="C76" s="339"/>
      <c r="D76" s="340"/>
      <c r="E76" s="99" t="s">
        <v>279</v>
      </c>
      <c r="F76" s="124">
        <f t="shared" si="10"/>
        <v>0</v>
      </c>
      <c r="G76" s="99" t="s">
        <v>214</v>
      </c>
      <c r="H76" s="125"/>
      <c r="I76" s="98" t="str">
        <f t="shared" si="11"/>
        <v>vw</v>
      </c>
      <c r="J76" s="104"/>
      <c r="K76" s="61">
        <f>SQRInputBindings!I64</f>
        <v>0</v>
      </c>
      <c r="L76" s="61"/>
      <c r="M76" s="61"/>
      <c r="N76" s="104"/>
      <c r="O76" s="61"/>
      <c r="P76" s="61"/>
      <c r="Q76" s="61"/>
      <c r="R76" s="61"/>
      <c r="T76" s="42"/>
      <c r="U76" s="42"/>
      <c r="V76" s="42"/>
      <c r="W76" s="42"/>
    </row>
    <row r="77" spans="1:23">
      <c r="A77" s="338"/>
      <c r="B77" s="339"/>
      <c r="C77" s="339"/>
      <c r="D77" s="340"/>
      <c r="E77" s="70" t="s">
        <v>51</v>
      </c>
      <c r="F77" s="101">
        <f t="shared" si="10"/>
        <v>0.08</v>
      </c>
      <c r="G77" s="70" t="s">
        <v>209</v>
      </c>
      <c r="H77" s="100"/>
      <c r="I77" s="98" t="str">
        <f t="shared" si="11"/>
        <v>vw</v>
      </c>
      <c r="J77" s="69"/>
      <c r="K77" s="31">
        <f>SQRInputBindings!I65</f>
        <v>0.08</v>
      </c>
      <c r="L77" s="31">
        <v>0</v>
      </c>
      <c r="M77" s="31"/>
      <c r="N77" s="69"/>
      <c r="O77" s="31"/>
      <c r="P77" s="31"/>
      <c r="Q77" s="31"/>
      <c r="R77" s="31"/>
      <c r="T77" s="42"/>
      <c r="U77" s="42"/>
      <c r="V77" s="42"/>
      <c r="W77" s="42"/>
    </row>
    <row r="78" spans="1:23">
      <c r="A78" s="338"/>
      <c r="B78" s="339"/>
      <c r="C78" s="339"/>
      <c r="D78" s="340"/>
      <c r="E78" s="66" t="s">
        <v>101</v>
      </c>
      <c r="F78" s="93">
        <f t="shared" si="10"/>
        <v>24</v>
      </c>
      <c r="G78" s="66" t="s">
        <v>71</v>
      </c>
      <c r="I78" s="98" t="str">
        <f t="shared" si="11"/>
        <v>vw</v>
      </c>
      <c r="K78" s="16">
        <f>SQRInputBindings!I66</f>
        <v>24</v>
      </c>
      <c r="L78" s="16">
        <v>0</v>
      </c>
      <c r="M78" s="16"/>
      <c r="O78" s="16"/>
      <c r="P78" s="16"/>
      <c r="Q78" s="16"/>
      <c r="R78" s="16"/>
      <c r="T78" s="42"/>
      <c r="U78" s="42"/>
      <c r="V78" s="42"/>
      <c r="W78" s="42"/>
    </row>
    <row r="79" spans="1:23">
      <c r="A79" s="338"/>
      <c r="B79" s="339"/>
      <c r="C79" s="339"/>
      <c r="D79" s="340"/>
      <c r="E79" s="70" t="s">
        <v>52</v>
      </c>
      <c r="F79" s="101">
        <f t="shared" si="10"/>
        <v>1</v>
      </c>
      <c r="G79" s="70" t="s">
        <v>209</v>
      </c>
      <c r="H79" s="100"/>
      <c r="I79" s="98" t="str">
        <f t="shared" si="11"/>
        <v>vw</v>
      </c>
      <c r="J79" s="69"/>
      <c r="K79" s="31">
        <f>SQRInputBindings!I67</f>
        <v>1</v>
      </c>
      <c r="L79" s="31">
        <v>0.9</v>
      </c>
      <c r="M79" s="31"/>
      <c r="N79" s="69"/>
      <c r="O79" s="31"/>
      <c r="P79" s="31"/>
      <c r="Q79" s="31"/>
      <c r="R79" s="31"/>
      <c r="T79" s="42"/>
      <c r="U79" s="42"/>
      <c r="V79" s="42"/>
      <c r="W79" s="42"/>
    </row>
    <row r="80" spans="1:23">
      <c r="A80" s="338"/>
      <c r="B80" s="339"/>
      <c r="C80" s="339"/>
      <c r="D80" s="340"/>
      <c r="E80" s="66" t="s">
        <v>190</v>
      </c>
      <c r="F80" s="93">
        <f t="shared" si="10"/>
        <v>0</v>
      </c>
      <c r="G80" s="66" t="s">
        <v>257</v>
      </c>
      <c r="I80" s="98" t="str">
        <f t="shared" si="11"/>
        <v>vw</v>
      </c>
      <c r="K80" s="16">
        <f>SQRInputBindings!I68</f>
        <v>0</v>
      </c>
      <c r="L80" s="16">
        <v>8.5000000000000006E-2</v>
      </c>
      <c r="M80" s="16"/>
      <c r="O80" s="16"/>
      <c r="P80" s="16"/>
      <c r="Q80" s="16"/>
      <c r="R80" s="16"/>
      <c r="T80" s="42"/>
      <c r="U80" s="42"/>
      <c r="V80" s="42"/>
      <c r="W80" s="42"/>
    </row>
    <row r="82" spans="1:23">
      <c r="A82" s="284" t="s">
        <v>191</v>
      </c>
    </row>
    <row r="83" spans="1:23">
      <c r="E83" s="66" t="s">
        <v>236</v>
      </c>
      <c r="F83" s="93">
        <f t="shared" ref="F83:F87" si="12">IF(INDEX(J83:X83,$I$4)="",INDEX(J83:X83,$I$6),INDEX(J83:X83,$I$4))</f>
        <v>3</v>
      </c>
      <c r="G83" s="66" t="s">
        <v>71</v>
      </c>
      <c r="I83" s="98" t="str">
        <f>IF( INDEX(J83:S83, I$5) = "", IF( INDEX(J83:S83, I$4) = F83, "vw", "tu"), IF(INDEX(J83:S83, I$5) = F83, "vw", "tu"))</f>
        <v>vw</v>
      </c>
      <c r="K83" s="16">
        <v>3</v>
      </c>
      <c r="L83" s="16"/>
      <c r="M83" s="16">
        <v>3</v>
      </c>
      <c r="O83" s="16">
        <v>3</v>
      </c>
      <c r="P83" s="16">
        <v>3</v>
      </c>
      <c r="Q83" s="16">
        <v>3</v>
      </c>
      <c r="R83" s="16">
        <v>3</v>
      </c>
      <c r="T83" s="42"/>
      <c r="U83" s="42"/>
      <c r="V83" s="42"/>
      <c r="W83" s="42"/>
    </row>
    <row r="84" spans="1:23">
      <c r="E84" s="99" t="s">
        <v>28</v>
      </c>
      <c r="F84" s="124">
        <f t="shared" si="12"/>
        <v>45078</v>
      </c>
      <c r="G84" s="99" t="s">
        <v>214</v>
      </c>
      <c r="H84" s="125"/>
      <c r="I84" s="98" t="str">
        <f>IF( INDEX(J84:S84, I$5) = "", IF( INDEX(J84:S84, I$4) = F84, "vw", "tu"), IF(INDEX(J84:S84, I$5) = F84, "vw", "tu"))</f>
        <v>vw</v>
      </c>
      <c r="J84" s="104"/>
      <c r="K84" s="61">
        <v>45078</v>
      </c>
      <c r="L84" s="61">
        <v>0</v>
      </c>
      <c r="M84" s="61"/>
      <c r="N84" s="104"/>
      <c r="O84" s="61"/>
      <c r="P84" s="61"/>
      <c r="Q84" s="61"/>
      <c r="R84" s="61"/>
      <c r="T84" s="42"/>
      <c r="U84" s="42"/>
      <c r="V84" s="42"/>
      <c r="W84" s="42"/>
    </row>
    <row r="85" spans="1:23">
      <c r="E85" s="70" t="s">
        <v>126</v>
      </c>
      <c r="F85" s="101">
        <f t="shared" si="12"/>
        <v>0.5</v>
      </c>
      <c r="G85" s="70" t="s">
        <v>209</v>
      </c>
      <c r="H85" s="100"/>
      <c r="I85" s="98" t="str">
        <f>IF( INDEX(J85:S85, I$5) = "", IF( INDEX(J85:S85, I$4) = F85, "vw", "tu"), IF(INDEX(J85:S85, I$5) = F85, "vw", "tu"))</f>
        <v>vw</v>
      </c>
      <c r="J85" s="69"/>
      <c r="K85" s="31">
        <v>0.5</v>
      </c>
      <c r="L85" s="31">
        <v>0</v>
      </c>
      <c r="M85" s="31">
        <v>0.5</v>
      </c>
      <c r="N85" s="69"/>
      <c r="O85" s="31">
        <v>0.5</v>
      </c>
      <c r="P85" s="31">
        <v>0.5</v>
      </c>
      <c r="Q85" s="31">
        <v>0.5</v>
      </c>
      <c r="R85" s="31">
        <v>0.5</v>
      </c>
      <c r="T85" s="42"/>
      <c r="U85" s="42"/>
      <c r="V85" s="42"/>
      <c r="W85" s="42"/>
    </row>
    <row r="86" spans="1:23">
      <c r="E86" s="70" t="s">
        <v>75</v>
      </c>
      <c r="F86" s="101">
        <f t="shared" si="12"/>
        <v>0.2</v>
      </c>
      <c r="G86" s="70" t="s">
        <v>209</v>
      </c>
      <c r="H86" s="100"/>
      <c r="I86" s="98" t="str">
        <f>IF( INDEX(J86:S86, I$5) = "", IF( INDEX(J86:S86, I$4) = F86, "vw", "tu"), IF(INDEX(J86:S86, I$5) = F86, "vw", "tu"))</f>
        <v>vw</v>
      </c>
      <c r="J86" s="69"/>
      <c r="K86" s="31">
        <v>0.2</v>
      </c>
      <c r="L86" s="31">
        <v>0</v>
      </c>
      <c r="M86" s="31">
        <v>0.2</v>
      </c>
      <c r="N86" s="69"/>
      <c r="O86" s="31">
        <v>0.2</v>
      </c>
      <c r="P86" s="31">
        <v>0.2</v>
      </c>
      <c r="Q86" s="31">
        <v>0.2</v>
      </c>
      <c r="R86" s="31">
        <v>0.2</v>
      </c>
      <c r="T86" s="42"/>
      <c r="U86" s="42"/>
      <c r="V86" s="42"/>
      <c r="W86" s="42"/>
    </row>
    <row r="87" spans="1:23">
      <c r="E87" s="66" t="s">
        <v>216</v>
      </c>
      <c r="F87" s="93">
        <f t="shared" si="12"/>
        <v>1</v>
      </c>
      <c r="G87" s="66" t="s">
        <v>71</v>
      </c>
      <c r="I87" s="98" t="str">
        <f>IF( INDEX(J87:S87, I$5) = "", IF( INDEX(J87:S87, I$4) = F87, "vw", "tu"), IF(INDEX(J87:S87, I$5) = F87, "vw", "tu"))</f>
        <v>vw</v>
      </c>
      <c r="K87" s="16">
        <v>1</v>
      </c>
      <c r="L87" s="16">
        <v>0.08</v>
      </c>
      <c r="M87" s="16">
        <v>1</v>
      </c>
      <c r="O87" s="16">
        <v>1</v>
      </c>
      <c r="P87" s="16">
        <v>1</v>
      </c>
      <c r="Q87" s="16">
        <v>1</v>
      </c>
      <c r="R87" s="16">
        <v>1</v>
      </c>
      <c r="T87" s="42"/>
      <c r="U87" s="42"/>
      <c r="V87" s="42"/>
      <c r="W87" s="42"/>
    </row>
    <row r="89" spans="1:23">
      <c r="A89" s="284" t="s">
        <v>260</v>
      </c>
    </row>
    <row r="90" spans="1:23">
      <c r="E90" s="70" t="s">
        <v>338</v>
      </c>
      <c r="F90" s="101">
        <f t="shared" ref="F90:F93" si="13">IF(INDEX(J90:X90,$I$4)="",INDEX(J90:X90,$I$6),INDEX(J90:X90,$I$4))</f>
        <v>0.2</v>
      </c>
      <c r="G90" s="70" t="s">
        <v>209</v>
      </c>
      <c r="H90" s="100"/>
      <c r="I90" s="98" t="str">
        <f>IF( INDEX(J90:S90, I$5) = "", IF( INDEX(J90:S90, I$4) = F90, "vw", "tu"), IF(INDEX(J90:S90, I$5) = F90, "vw", "tu"))</f>
        <v>vw</v>
      </c>
      <c r="J90" s="69"/>
      <c r="K90" s="31">
        <v>0.2</v>
      </c>
      <c r="L90" s="31"/>
      <c r="M90" s="31"/>
      <c r="N90" s="69"/>
      <c r="O90" s="31"/>
      <c r="P90" s="31"/>
      <c r="Q90" s="31"/>
      <c r="R90" s="31"/>
      <c r="T90" s="42"/>
      <c r="U90" s="42"/>
      <c r="V90" s="42"/>
      <c r="W90" s="42"/>
    </row>
    <row r="91" spans="1:23">
      <c r="E91" s="66" t="s">
        <v>237</v>
      </c>
      <c r="F91" s="93">
        <f t="shared" si="13"/>
        <v>0</v>
      </c>
      <c r="G91" s="66" t="s">
        <v>257</v>
      </c>
      <c r="I91" s="98" t="str">
        <f>IF( INDEX(J91:S91, I$5) = "", IF( INDEX(J91:S91, I$4) = F91, "vw", "tu"), IF(INDEX(J91:S91, I$5) = F91, "vw", "tu"))</f>
        <v>vw</v>
      </c>
      <c r="K91" s="16">
        <v>0</v>
      </c>
      <c r="L91" s="16">
        <v>0</v>
      </c>
      <c r="M91" s="16"/>
      <c r="O91" s="16"/>
      <c r="P91" s="16"/>
      <c r="Q91" s="16"/>
      <c r="R91" s="16"/>
      <c r="T91" s="42"/>
      <c r="U91" s="42"/>
      <c r="V91" s="42"/>
      <c r="W91" s="42"/>
    </row>
    <row r="92" spans="1:23">
      <c r="E92" s="66" t="s">
        <v>339</v>
      </c>
      <c r="F92" s="93">
        <f t="shared" si="13"/>
        <v>8</v>
      </c>
      <c r="G92" s="66"/>
      <c r="I92" s="98" t="str">
        <f>IF( INDEX(J92:S92, I$5) = "", IF( INDEX(J92:S92, I$4) = F92, "vw", "tu"), IF(INDEX(J92:S92, I$5) = F92, "vw", "tu"))</f>
        <v>vw</v>
      </c>
      <c r="K92" s="16">
        <v>8</v>
      </c>
      <c r="L92" s="16">
        <v>0</v>
      </c>
      <c r="M92" s="16">
        <v>12</v>
      </c>
      <c r="O92" s="16">
        <v>12</v>
      </c>
      <c r="P92" s="16">
        <v>12</v>
      </c>
      <c r="Q92" s="16">
        <v>12</v>
      </c>
      <c r="R92" s="16">
        <v>12</v>
      </c>
      <c r="T92" s="42"/>
      <c r="U92" s="42"/>
      <c r="V92" s="42"/>
      <c r="W92" s="42"/>
    </row>
    <row r="93" spans="1:23">
      <c r="E93" s="66" t="s">
        <v>280</v>
      </c>
      <c r="F93" s="93">
        <f t="shared" si="13"/>
        <v>0</v>
      </c>
      <c r="G93" s="66" t="s">
        <v>257</v>
      </c>
      <c r="I93" s="98" t="str">
        <f>IF( INDEX(J93:S93, I$5) = "", IF( INDEX(J93:S93, I$4) = F93, "vw", "tu"), IF(INDEX(J93:S93, I$5) = F93, "vw", "tu"))</f>
        <v>vw</v>
      </c>
      <c r="K93" s="16">
        <v>0</v>
      </c>
      <c r="L93" s="16">
        <v>0.08</v>
      </c>
      <c r="M93" s="16">
        <v>0</v>
      </c>
      <c r="O93" s="16">
        <v>0</v>
      </c>
      <c r="P93" s="16">
        <v>0</v>
      </c>
      <c r="Q93" s="16">
        <v>0</v>
      </c>
      <c r="R93" s="16">
        <v>0</v>
      </c>
      <c r="T93" s="42"/>
      <c r="U93" s="42"/>
      <c r="V93" s="42"/>
      <c r="W93" s="42"/>
    </row>
    <row r="95" spans="1:23">
      <c r="A95" s="284" t="s">
        <v>340</v>
      </c>
    </row>
    <row r="96" spans="1:23">
      <c r="E96" s="99" t="s">
        <v>341</v>
      </c>
      <c r="F96" s="124">
        <f>IF(INDEX(J96:X96,$I$4)="",INDEX(J96:X96,$I$6),INDEX(J96:X96,$I$4))</f>
        <v>45413</v>
      </c>
      <c r="G96" s="99" t="s">
        <v>214</v>
      </c>
      <c r="H96" s="125"/>
      <c r="I96" s="98" t="str">
        <f>IF( INDEX(J96:S96, I$5) = "", IF( INDEX(J96:S96, I$4) = F96, "vw", "tu"), IF(INDEX(J96:S96, I$5) = F96, "vw", "tu"))</f>
        <v>vw</v>
      </c>
      <c r="J96" s="104"/>
      <c r="K96" s="61">
        <v>45413</v>
      </c>
      <c r="L96" s="61">
        <v>0</v>
      </c>
      <c r="M96" s="61"/>
      <c r="N96" s="104"/>
      <c r="O96" s="61"/>
      <c r="P96" s="61"/>
      <c r="Q96" s="61"/>
      <c r="R96" s="61"/>
      <c r="T96" s="42"/>
      <c r="U96" s="42"/>
      <c r="V96" s="42"/>
      <c r="W96" s="42"/>
    </row>
    <row r="98" spans="1:7" outlineLevel="1">
      <c r="A98" s="284" t="s">
        <v>29</v>
      </c>
    </row>
    <row r="99" spans="1:7" outlineLevel="1">
      <c r="E99" s="66" t="s">
        <v>76</v>
      </c>
      <c r="F99" s="16">
        <v>12</v>
      </c>
      <c r="G99" s="66"/>
    </row>
    <row r="100" spans="1:7" outlineLevel="1">
      <c r="E100" s="66" t="s">
        <v>192</v>
      </c>
      <c r="F100" s="16">
        <v>1</v>
      </c>
      <c r="G100" s="66" t="s">
        <v>71</v>
      </c>
    </row>
    <row r="101" spans="1:7" outlineLevel="1">
      <c r="E101" s="66" t="s">
        <v>147</v>
      </c>
      <c r="F101" s="16">
        <v>4</v>
      </c>
      <c r="G101" s="66" t="s">
        <v>71</v>
      </c>
    </row>
    <row r="102" spans="1:7" outlineLevel="1">
      <c r="E102" s="99" t="s">
        <v>317</v>
      </c>
      <c r="F102" s="61">
        <v>45047</v>
      </c>
      <c r="G102" s="66" t="s">
        <v>214</v>
      </c>
    </row>
    <row r="103" spans="1:7" outlineLevel="1"/>
    <row r="104" spans="1:7" outlineLevel="1"/>
  </sheetData>
  <conditionalFormatting sqref="I9:I23 I26:I29 I32:I36 I39:I43 I46:I54 I57:I58 I61:I65 I68:I72 I75:I80 I83:I87 I90:I93 I96">
    <cfRule type="cellIs" dxfId="282" priority="3" operator="equal">
      <formula>"tu"</formula>
    </cfRule>
  </conditionalFormatting>
  <conditionalFormatting sqref="T12:W12 O13:R13 T15:W23 T26:W29 T32:W36 T39:W43 T46:W54 T57:W58 T61:W65 T68:W72 T75:W80 T83:W87 T90:W93 T96:W96">
    <cfRule type="cellIs" dxfId="281" priority="1" operator="equal">
      <formula>""</formula>
    </cfRule>
  </conditionalFormatting>
  <printOptions verticalCentered="1" headings="1"/>
  <pageMargins left="0.74803149606299213" right="0.74803149606299213" top="0.98425196850393704" bottom="0.98425196850393704" header="0.51181102362204722" footer="0.51181102362204722"/>
  <pageSetup paperSize="9" scale="55" orientation="landscape" blackAndWhite="1" horizontalDpi="300" verticalDpi="300"/>
  <customProperties>
    <customPr name="MMSheetType"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99"/>
    <outlinePr summaryBelow="0" summaryRight="0"/>
  </sheetPr>
  <dimension ref="A1:BQ2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201" customWidth="1"/>
    <col min="5" max="5" width="29" style="47" bestFit="1" customWidth="1"/>
    <col min="6" max="6" width="20.5546875" style="47" bestFit="1" customWidth="1"/>
    <col min="7" max="7" width="13.21875" style="47" bestFit="1" customWidth="1"/>
    <col min="8" max="8" width="8.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RIGHT(CELL("filename", A1), LEN(CELL("filename", A1)) - SEARCH("]", CELL("filename", A1)))</f>
        <v>InpS</v>
      </c>
      <c r="B1" s="81"/>
      <c r="C1" s="84"/>
      <c r="D1" s="196"/>
      <c r="F1" s="53" t="str">
        <f>HYPERLINK("#Contents!A1","Go to contents")</f>
        <v>Go to contents</v>
      </c>
      <c r="H1" s="59"/>
      <c r="J1" s="59"/>
    </row>
    <row r="2" spans="1:69" s="55" customFormat="1">
      <c r="A2" s="58"/>
      <c r="B2" s="58"/>
      <c r="C2" s="83"/>
      <c r="D2" s="203"/>
      <c r="E2" s="159" t="s">
        <v>332</v>
      </c>
      <c r="F2" s="52">
        <f ca="1">'Model Checks and Alerts'!F11</f>
        <v>0</v>
      </c>
      <c r="G2" s="56" t="s">
        <v>143</v>
      </c>
      <c r="H2" s="22"/>
      <c r="I2" s="22"/>
      <c r="J2" s="6">
        <f>Time!J$19</f>
        <v>45077</v>
      </c>
      <c r="K2" s="6">
        <f>Time!K$19</f>
        <v>45107</v>
      </c>
      <c r="L2" s="6">
        <f>Time!L$19</f>
        <v>45138</v>
      </c>
      <c r="M2" s="6">
        <f>Time!M$19</f>
        <v>45169</v>
      </c>
      <c r="N2" s="6">
        <f>Time!N$19</f>
        <v>45199</v>
      </c>
      <c r="O2" s="6">
        <f>Time!O$19</f>
        <v>45230</v>
      </c>
      <c r="P2" s="6">
        <f>Time!P$19</f>
        <v>45260</v>
      </c>
      <c r="Q2" s="6">
        <f>Time!Q$19</f>
        <v>45291</v>
      </c>
      <c r="R2" s="6">
        <f>Time!R$19</f>
        <v>45322</v>
      </c>
      <c r="S2" s="6">
        <f>Time!S$19</f>
        <v>45351</v>
      </c>
      <c r="T2" s="6">
        <f>Time!T$19</f>
        <v>45382</v>
      </c>
      <c r="U2" s="6">
        <f>Time!U$19</f>
        <v>45412</v>
      </c>
      <c r="V2" s="6">
        <f>Time!V$19</f>
        <v>45443</v>
      </c>
      <c r="W2" s="6">
        <f>Time!W$19</f>
        <v>45473</v>
      </c>
      <c r="X2" s="6">
        <f>Time!X$19</f>
        <v>45504</v>
      </c>
      <c r="Y2" s="6">
        <f>Time!Y$19</f>
        <v>45535</v>
      </c>
      <c r="Z2" s="6">
        <f>Time!Z$19</f>
        <v>45565</v>
      </c>
      <c r="AA2" s="6">
        <f>Time!AA$19</f>
        <v>45596</v>
      </c>
      <c r="AB2" s="6">
        <f>Time!AB$19</f>
        <v>45626</v>
      </c>
      <c r="AC2" s="6">
        <f>Time!AC$19</f>
        <v>45657</v>
      </c>
      <c r="AD2" s="6">
        <f>Time!AD$19</f>
        <v>45688</v>
      </c>
      <c r="AE2" s="6">
        <f>Time!AE$19</f>
        <v>45716</v>
      </c>
      <c r="AF2" s="6">
        <f>Time!AF$19</f>
        <v>45747</v>
      </c>
      <c r="AG2" s="6">
        <f>Time!AG$19</f>
        <v>45777</v>
      </c>
      <c r="AH2" s="6">
        <f>Time!AH$19</f>
        <v>45808</v>
      </c>
      <c r="AI2" s="6">
        <f>Time!AI$19</f>
        <v>45838</v>
      </c>
      <c r="AJ2" s="6">
        <f>Time!AJ$19</f>
        <v>45869</v>
      </c>
      <c r="AK2" s="6">
        <f>Time!AK$19</f>
        <v>45900</v>
      </c>
      <c r="AL2" s="6">
        <f>Time!AL$19</f>
        <v>45930</v>
      </c>
      <c r="AM2" s="6">
        <f>Time!AM$19</f>
        <v>45961</v>
      </c>
      <c r="AN2" s="6">
        <f>Time!AN$19</f>
        <v>45991</v>
      </c>
      <c r="AO2" s="6">
        <f>Time!AO$19</f>
        <v>46022</v>
      </c>
      <c r="AP2" s="6">
        <f>Time!AP$19</f>
        <v>46053</v>
      </c>
      <c r="AQ2" s="6">
        <f>Time!AQ$19</f>
        <v>46081</v>
      </c>
      <c r="AR2" s="6">
        <f>Time!AR$19</f>
        <v>46112</v>
      </c>
      <c r="AS2" s="6">
        <f>Time!AS$19</f>
        <v>46142</v>
      </c>
      <c r="AT2" s="6">
        <f>Time!AT$19</f>
        <v>46173</v>
      </c>
      <c r="AU2" s="6">
        <f>Time!AU$19</f>
        <v>46203</v>
      </c>
      <c r="AV2" s="6">
        <f>Time!AV$19</f>
        <v>46234</v>
      </c>
      <c r="AW2" s="6">
        <f>Time!AW$19</f>
        <v>46265</v>
      </c>
      <c r="AX2" s="6">
        <f>Time!AX$19</f>
        <v>46295</v>
      </c>
      <c r="AY2" s="6">
        <f>Time!AY$19</f>
        <v>46326</v>
      </c>
      <c r="AZ2" s="6">
        <f>Time!AZ$19</f>
        <v>46356</v>
      </c>
      <c r="BA2" s="6">
        <f>Time!BA$19</f>
        <v>46387</v>
      </c>
      <c r="BB2" s="6">
        <f>Time!BB$19</f>
        <v>46418</v>
      </c>
      <c r="BC2" s="6">
        <f>Time!BC$19</f>
        <v>46446</v>
      </c>
      <c r="BD2" s="6">
        <f>Time!BD$19</f>
        <v>46477</v>
      </c>
      <c r="BE2" s="6">
        <f>Time!BE$19</f>
        <v>46507</v>
      </c>
      <c r="BF2" s="6">
        <f>Time!BF$19</f>
        <v>46538</v>
      </c>
      <c r="BG2" s="6">
        <f>Time!BG$19</f>
        <v>46568</v>
      </c>
      <c r="BH2" s="6">
        <f>Time!BH$19</f>
        <v>46599</v>
      </c>
      <c r="BI2" s="6">
        <f>Time!BI$19</f>
        <v>46630</v>
      </c>
      <c r="BJ2" s="6">
        <f>Time!BJ$19</f>
        <v>46660</v>
      </c>
      <c r="BK2" s="6">
        <f>Time!BK$19</f>
        <v>46691</v>
      </c>
      <c r="BL2" s="6">
        <f>Time!BL$19</f>
        <v>46721</v>
      </c>
      <c r="BM2" s="6">
        <f>Time!BM$19</f>
        <v>46752</v>
      </c>
      <c r="BN2" s="6">
        <f>Time!BN$19</f>
        <v>46783</v>
      </c>
      <c r="BO2" s="6">
        <f>Time!BO$19</f>
        <v>46812</v>
      </c>
      <c r="BP2" s="6">
        <f>Time!BP$19</f>
        <v>46843</v>
      </c>
      <c r="BQ2" s="6">
        <f>Time!BQ$19</f>
        <v>46873</v>
      </c>
    </row>
    <row r="3" spans="1:69" s="55" customFormat="1">
      <c r="A3" s="58"/>
      <c r="B3" s="58"/>
      <c r="C3" s="83"/>
      <c r="D3" s="203"/>
      <c r="E3" s="15" t="s">
        <v>207</v>
      </c>
      <c r="F3" s="52"/>
      <c r="G3" s="56" t="s">
        <v>98</v>
      </c>
      <c r="H3" s="22"/>
      <c r="I3" s="22"/>
      <c r="J3" s="7" t="str">
        <f>Time!J$24</f>
        <v>Month1</v>
      </c>
      <c r="K3" s="7" t="str">
        <f>Time!K$24</f>
        <v>Month2</v>
      </c>
      <c r="L3" s="7" t="str">
        <f>Time!L$24</f>
        <v>Month3</v>
      </c>
      <c r="M3" s="7" t="str">
        <f>Time!M$24</f>
        <v>Month4</v>
      </c>
      <c r="N3" s="7" t="str">
        <f>Time!N$24</f>
        <v>Month5</v>
      </c>
      <c r="O3" s="7" t="str">
        <f>Time!O$24</f>
        <v>Month6</v>
      </c>
      <c r="P3" s="7" t="str">
        <f>Time!P$24</f>
        <v>Month7</v>
      </c>
      <c r="Q3" s="7" t="str">
        <f>Time!Q$24</f>
        <v>Month8</v>
      </c>
      <c r="R3" s="7" t="str">
        <f>Time!R$24</f>
        <v>Month9</v>
      </c>
      <c r="S3" s="7" t="str">
        <f>Time!S$24</f>
        <v>Month10</v>
      </c>
      <c r="T3" s="7" t="str">
        <f>Time!T$24</f>
        <v>Month11</v>
      </c>
      <c r="U3" s="7" t="str">
        <f>Time!U$24</f>
        <v>Month12</v>
      </c>
      <c r="V3" s="7" t="str">
        <f>Time!V$24</f>
        <v>Month13</v>
      </c>
      <c r="W3" s="7" t="str">
        <f>Time!W$24</f>
        <v>Month14</v>
      </c>
      <c r="X3" s="7" t="str">
        <f>Time!X$24</f>
        <v>Month15</v>
      </c>
      <c r="Y3" s="7" t="str">
        <f>Time!Y$24</f>
        <v>Month16</v>
      </c>
      <c r="Z3" s="7" t="str">
        <f>Time!Z$24</f>
        <v>Month17</v>
      </c>
      <c r="AA3" s="7" t="str">
        <f>Time!AA$24</f>
        <v>Month18</v>
      </c>
      <c r="AB3" s="7" t="str">
        <f>Time!AB$24</f>
        <v>Month19</v>
      </c>
      <c r="AC3" s="7" t="str">
        <f>Time!AC$24</f>
        <v>Month20</v>
      </c>
      <c r="AD3" s="7" t="str">
        <f>Time!AD$24</f>
        <v>Month21</v>
      </c>
      <c r="AE3" s="7" t="str">
        <f>Time!AE$24</f>
        <v>Month22</v>
      </c>
      <c r="AF3" s="7" t="str">
        <f>Time!AF$24</f>
        <v>Month23</v>
      </c>
      <c r="AG3" s="7" t="str">
        <f>Time!AG$24</f>
        <v>Month24</v>
      </c>
      <c r="AH3" s="7" t="str">
        <f>Time!AH$24</f>
        <v>Month25</v>
      </c>
      <c r="AI3" s="7" t="str">
        <f>Time!AI$24</f>
        <v>Month26</v>
      </c>
      <c r="AJ3" s="7" t="str">
        <f>Time!AJ$24</f>
        <v>Month27</v>
      </c>
      <c r="AK3" s="7" t="str">
        <f>Time!AK$24</f>
        <v>Month28</v>
      </c>
      <c r="AL3" s="7" t="str">
        <f>Time!AL$24</f>
        <v>Month29</v>
      </c>
      <c r="AM3" s="7" t="str">
        <f>Time!AM$24</f>
        <v>Month30</v>
      </c>
      <c r="AN3" s="7" t="str">
        <f>Time!AN$24</f>
        <v>Month31</v>
      </c>
      <c r="AO3" s="7" t="str">
        <f>Time!AO$24</f>
        <v>Month32</v>
      </c>
      <c r="AP3" s="7" t="str">
        <f>Time!AP$24</f>
        <v>Month33</v>
      </c>
      <c r="AQ3" s="7" t="str">
        <f>Time!AQ$24</f>
        <v>Month34</v>
      </c>
      <c r="AR3" s="7" t="str">
        <f>Time!AR$24</f>
        <v>Month35</v>
      </c>
      <c r="AS3" s="7" t="str">
        <f>Time!AS$24</f>
        <v>Month36</v>
      </c>
      <c r="AT3" s="7" t="str">
        <f>Time!AT$24</f>
        <v>Month37</v>
      </c>
      <c r="AU3" s="7" t="str">
        <f>Time!AU$24</f>
        <v>Month38</v>
      </c>
      <c r="AV3" s="7" t="str">
        <f>Time!AV$24</f>
        <v>Month39</v>
      </c>
      <c r="AW3" s="7" t="str">
        <f>Time!AW$24</f>
        <v>Month40</v>
      </c>
      <c r="AX3" s="7" t="str">
        <f>Time!AX$24</f>
        <v>Month41</v>
      </c>
      <c r="AY3" s="7" t="str">
        <f>Time!AY$24</f>
        <v>Month42</v>
      </c>
      <c r="AZ3" s="7" t="str">
        <f>Time!AZ$24</f>
        <v>Month43</v>
      </c>
      <c r="BA3" s="7" t="str">
        <f>Time!BA$24</f>
        <v>Month44</v>
      </c>
      <c r="BB3" s="7" t="str">
        <f>Time!BB$24</f>
        <v>Month45</v>
      </c>
      <c r="BC3" s="7" t="str">
        <f>Time!BC$24</f>
        <v>Month46</v>
      </c>
      <c r="BD3" s="7" t="str">
        <f>Time!BD$24</f>
        <v>Month47</v>
      </c>
      <c r="BE3" s="7" t="str">
        <f>Time!BE$24</f>
        <v>Month48</v>
      </c>
      <c r="BF3" s="7" t="str">
        <f>Time!BF$24</f>
        <v>Month49</v>
      </c>
      <c r="BG3" s="7" t="str">
        <f>Time!BG$24</f>
        <v>Month50</v>
      </c>
      <c r="BH3" s="7" t="str">
        <f>Time!BH$24</f>
        <v>Month51</v>
      </c>
      <c r="BI3" s="7" t="str">
        <f>Time!BI$24</f>
        <v>Month52</v>
      </c>
      <c r="BJ3" s="7" t="str">
        <f>Time!BJ$24</f>
        <v>Month53</v>
      </c>
      <c r="BK3" s="7" t="str">
        <f>Time!BK$24</f>
        <v>Month54</v>
      </c>
      <c r="BL3" s="7" t="str">
        <f>Time!BL$24</f>
        <v>Month55</v>
      </c>
      <c r="BM3" s="7" t="str">
        <f>Time!BM$24</f>
        <v>Month56</v>
      </c>
      <c r="BN3" s="7" t="str">
        <f>Time!BN$24</f>
        <v>Month57</v>
      </c>
      <c r="BO3" s="7" t="str">
        <f>Time!BO$24</f>
        <v>Month58</v>
      </c>
      <c r="BP3" s="7" t="str">
        <f>Time!BP$24</f>
        <v>Month59</v>
      </c>
      <c r="BQ3" s="7" t="str">
        <f>Time!BQ$24</f>
        <v>Month60</v>
      </c>
    </row>
    <row r="4" spans="1:69" s="55" customFormat="1">
      <c r="A4" s="58"/>
      <c r="B4" s="58"/>
      <c r="C4" s="83"/>
      <c r="D4" s="203"/>
      <c r="E4" s="26" t="s">
        <v>333</v>
      </c>
      <c r="F4" s="47"/>
      <c r="G4" s="47"/>
      <c r="H4" s="22"/>
      <c r="I4" s="22"/>
      <c r="J4" s="26">
        <f>Time!J$28</f>
        <v>1</v>
      </c>
      <c r="K4" s="26">
        <f>Time!K$28</f>
        <v>2</v>
      </c>
      <c r="L4" s="26">
        <f>Time!L$28</f>
        <v>3</v>
      </c>
      <c r="M4" s="26">
        <f>Time!M$28</f>
        <v>4</v>
      </c>
      <c r="N4" s="26">
        <f>Time!N$28</f>
        <v>5</v>
      </c>
      <c r="O4" s="26">
        <f>Time!O$28</f>
        <v>6</v>
      </c>
      <c r="P4" s="26">
        <f>Time!P$28</f>
        <v>7</v>
      </c>
      <c r="Q4" s="26">
        <f>Time!Q$28</f>
        <v>8</v>
      </c>
      <c r="R4" s="26">
        <f>Time!R$28</f>
        <v>9</v>
      </c>
      <c r="S4" s="26">
        <f>Time!S$28</f>
        <v>10</v>
      </c>
      <c r="T4" s="26">
        <f>Time!T$28</f>
        <v>11</v>
      </c>
      <c r="U4" s="26">
        <f>Time!U$28</f>
        <v>12</v>
      </c>
      <c r="V4" s="26">
        <f>Time!V$28</f>
        <v>13</v>
      </c>
      <c r="W4" s="26">
        <f>Time!W$28</f>
        <v>14</v>
      </c>
      <c r="X4" s="26">
        <f>Time!X$28</f>
        <v>15</v>
      </c>
      <c r="Y4" s="26">
        <f>Time!Y$28</f>
        <v>16</v>
      </c>
      <c r="Z4" s="26">
        <f>Time!Z$28</f>
        <v>17</v>
      </c>
      <c r="AA4" s="26">
        <f>Time!AA$28</f>
        <v>18</v>
      </c>
      <c r="AB4" s="26">
        <f>Time!AB$28</f>
        <v>19</v>
      </c>
      <c r="AC4" s="26">
        <f>Time!AC$28</f>
        <v>20</v>
      </c>
      <c r="AD4" s="26">
        <f>Time!AD$28</f>
        <v>21</v>
      </c>
      <c r="AE4" s="26">
        <f>Time!AE$28</f>
        <v>22</v>
      </c>
      <c r="AF4" s="26">
        <f>Time!AF$28</f>
        <v>23</v>
      </c>
      <c r="AG4" s="26">
        <f>Time!AG$28</f>
        <v>24</v>
      </c>
      <c r="AH4" s="26">
        <f>Time!AH$28</f>
        <v>25</v>
      </c>
      <c r="AI4" s="26">
        <f>Time!AI$28</f>
        <v>26</v>
      </c>
      <c r="AJ4" s="26">
        <f>Time!AJ$28</f>
        <v>27</v>
      </c>
      <c r="AK4" s="26">
        <f>Time!AK$28</f>
        <v>28</v>
      </c>
      <c r="AL4" s="26">
        <f>Time!AL$28</f>
        <v>29</v>
      </c>
      <c r="AM4" s="26">
        <f>Time!AM$28</f>
        <v>30</v>
      </c>
      <c r="AN4" s="26">
        <f>Time!AN$28</f>
        <v>31</v>
      </c>
      <c r="AO4" s="26">
        <f>Time!AO$28</f>
        <v>32</v>
      </c>
      <c r="AP4" s="26">
        <f>Time!AP$28</f>
        <v>33</v>
      </c>
      <c r="AQ4" s="26">
        <f>Time!AQ$28</f>
        <v>34</v>
      </c>
      <c r="AR4" s="26">
        <f>Time!AR$28</f>
        <v>35</v>
      </c>
      <c r="AS4" s="26">
        <f>Time!AS$28</f>
        <v>36</v>
      </c>
      <c r="AT4" s="26">
        <f>Time!AT$28</f>
        <v>37</v>
      </c>
      <c r="AU4" s="26">
        <f>Time!AU$28</f>
        <v>38</v>
      </c>
      <c r="AV4" s="26">
        <f>Time!AV$28</f>
        <v>39</v>
      </c>
      <c r="AW4" s="26">
        <f>Time!AW$28</f>
        <v>40</v>
      </c>
      <c r="AX4" s="26">
        <f>Time!AX$28</f>
        <v>41</v>
      </c>
      <c r="AY4" s="26">
        <f>Time!AY$28</f>
        <v>42</v>
      </c>
      <c r="AZ4" s="26">
        <f>Time!AZ$28</f>
        <v>43</v>
      </c>
      <c r="BA4" s="26">
        <f>Time!BA$28</f>
        <v>44</v>
      </c>
      <c r="BB4" s="26">
        <f>Time!BB$28</f>
        <v>45</v>
      </c>
      <c r="BC4" s="26">
        <f>Time!BC$28</f>
        <v>46</v>
      </c>
      <c r="BD4" s="26">
        <f>Time!BD$28</f>
        <v>47</v>
      </c>
      <c r="BE4" s="26">
        <f>Time!BE$28</f>
        <v>48</v>
      </c>
      <c r="BF4" s="26">
        <f>Time!BF$28</f>
        <v>49</v>
      </c>
      <c r="BG4" s="26">
        <f>Time!BG$28</f>
        <v>50</v>
      </c>
      <c r="BH4" s="26">
        <f>Time!BH$28</f>
        <v>51</v>
      </c>
      <c r="BI4" s="26">
        <f>Time!BI$28</f>
        <v>52</v>
      </c>
      <c r="BJ4" s="26">
        <f>Time!BJ$28</f>
        <v>53</v>
      </c>
      <c r="BK4" s="26">
        <f>Time!BK$28</f>
        <v>54</v>
      </c>
      <c r="BL4" s="26">
        <f>Time!BL$28</f>
        <v>55</v>
      </c>
      <c r="BM4" s="26">
        <f>Time!BM$28</f>
        <v>56</v>
      </c>
      <c r="BN4" s="26">
        <f>Time!BN$28</f>
        <v>57</v>
      </c>
      <c r="BO4" s="26">
        <f>Time!BO$28</f>
        <v>58</v>
      </c>
      <c r="BP4" s="26">
        <f>Time!BP$28</f>
        <v>59</v>
      </c>
      <c r="BQ4" s="26">
        <f>Time!BQ$28</f>
        <v>60</v>
      </c>
    </row>
    <row r="5" spans="1:69" s="55" customFormat="1">
      <c r="A5" s="58"/>
      <c r="B5" s="58"/>
      <c r="C5" s="83"/>
      <c r="D5" s="203"/>
      <c r="E5" s="15" t="s">
        <v>311</v>
      </c>
      <c r="F5" s="25" t="s">
        <v>254</v>
      </c>
      <c r="G5" s="25" t="s">
        <v>229</v>
      </c>
      <c r="H5" s="25" t="s">
        <v>206</v>
      </c>
      <c r="I5" s="22"/>
      <c r="J5" s="15"/>
      <c r="K5" s="15"/>
      <c r="L5" s="15"/>
      <c r="M5" s="15"/>
      <c r="N5" s="15"/>
      <c r="O5" s="15"/>
    </row>
    <row r="8" spans="1:69">
      <c r="A8" s="25" t="s">
        <v>155</v>
      </c>
    </row>
    <row r="10" spans="1:69" outlineLevel="1">
      <c r="A10" s="25" t="s">
        <v>30</v>
      </c>
    </row>
    <row r="11" spans="1:69" outlineLevel="1">
      <c r="E11" s="41" t="s">
        <v>77</v>
      </c>
      <c r="G11" s="41" t="s">
        <v>257</v>
      </c>
      <c r="H11" s="47">
        <f>SUM( J11:BQ11 )</f>
        <v>0</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row>
    <row r="13" spans="1:69" outlineLevel="1">
      <c r="A13" s="25" t="s">
        <v>318</v>
      </c>
    </row>
    <row r="14" spans="1:69" outlineLevel="1">
      <c r="E14" s="41" t="s">
        <v>342</v>
      </c>
      <c r="G14" s="41" t="s">
        <v>257</v>
      </c>
      <c r="H14" s="47">
        <f>SUM( J14:BQ14 )</f>
        <v>35000</v>
      </c>
      <c r="J14" s="16"/>
      <c r="K14" s="16">
        <v>5000</v>
      </c>
      <c r="L14" s="16"/>
      <c r="M14" s="16"/>
      <c r="N14" s="16"/>
      <c r="O14" s="16">
        <v>10000</v>
      </c>
      <c r="P14" s="16"/>
      <c r="Q14" s="16"/>
      <c r="R14" s="16"/>
      <c r="S14" s="16">
        <v>10000</v>
      </c>
      <c r="T14" s="16"/>
      <c r="U14" s="16">
        <v>10000</v>
      </c>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row>
    <row r="15" spans="1:69" outlineLevel="1">
      <c r="E15" s="41" t="s">
        <v>53</v>
      </c>
      <c r="G15" s="41" t="s">
        <v>257</v>
      </c>
      <c r="H15" s="47">
        <f>SUM( J15:BQ15 )</f>
        <v>50000</v>
      </c>
      <c r="J15" s="16"/>
      <c r="K15" s="16"/>
      <c r="L15" s="16">
        <v>10000</v>
      </c>
      <c r="M15" s="16">
        <v>10000</v>
      </c>
      <c r="N15" s="16">
        <v>10000</v>
      </c>
      <c r="O15" s="16"/>
      <c r="P15" s="16">
        <v>10000</v>
      </c>
      <c r="Q15" s="16"/>
      <c r="R15" s="16">
        <v>10000</v>
      </c>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row>
    <row r="16" spans="1:69" outlineLevel="1">
      <c r="E16" s="41" t="s">
        <v>167</v>
      </c>
      <c r="G16" s="41" t="s">
        <v>257</v>
      </c>
      <c r="H16" s="47">
        <f>SUM( J16:BQ16 )</f>
        <v>38000</v>
      </c>
      <c r="J16" s="16">
        <v>1000</v>
      </c>
      <c r="K16" s="16">
        <v>1000</v>
      </c>
      <c r="L16" s="16">
        <v>1000</v>
      </c>
      <c r="M16" s="16">
        <v>1000</v>
      </c>
      <c r="N16" s="16">
        <v>3000</v>
      </c>
      <c r="O16" s="16">
        <v>3000</v>
      </c>
      <c r="P16" s="16">
        <v>3000</v>
      </c>
      <c r="Q16" s="16">
        <v>5000</v>
      </c>
      <c r="R16" s="16">
        <v>5000</v>
      </c>
      <c r="S16" s="16">
        <v>5000</v>
      </c>
      <c r="T16" s="16">
        <v>5000</v>
      </c>
      <c r="U16" s="16">
        <v>5000</v>
      </c>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row>
    <row r="18" spans="1:69" outlineLevel="1">
      <c r="A18" s="25" t="s">
        <v>144</v>
      </c>
    </row>
    <row r="19" spans="1:69" outlineLevel="1"/>
    <row r="20" spans="1:69" outlineLevel="2">
      <c r="A20" s="25" t="s">
        <v>168</v>
      </c>
    </row>
    <row r="21" spans="1:69" s="276" customFormat="1" outlineLevel="2">
      <c r="A21" s="179"/>
      <c r="B21" s="179"/>
      <c r="C21" s="287"/>
      <c r="D21" s="252"/>
      <c r="E21" s="121" t="s">
        <v>7</v>
      </c>
      <c r="F21" s="121"/>
      <c r="G21" s="121" t="s">
        <v>214</v>
      </c>
      <c r="H21" s="121"/>
      <c r="I21" s="121"/>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row>
    <row r="24" spans="1:69">
      <c r="B24" s="25" t="s">
        <v>271</v>
      </c>
    </row>
  </sheetData>
  <conditionalFormatting sqref="F2:F3">
    <cfRule type="cellIs" dxfId="280" priority="1" stopIfTrue="1" operator="notEqual">
      <formula>0</formula>
    </cfRule>
    <cfRule type="cellIs" dxfId="279" priority="2" stopIfTrue="1" operator="equal">
      <formula>""</formula>
    </cfRule>
  </conditionalFormatting>
  <conditionalFormatting sqref="J3:BQ3">
    <cfRule type="cellIs" dxfId="278" priority="3" operator="equal">
      <formula>"PPA ext."</formula>
    </cfRule>
    <cfRule type="cellIs" dxfId="277" priority="4" operator="equal">
      <formula>"Delay"</formula>
    </cfRule>
    <cfRule type="cellIs" dxfId="276" priority="5" operator="equal">
      <formula>"Fin Close"</formula>
    </cfRule>
    <cfRule type="cellIs" dxfId="275" priority="6" stopIfTrue="1" operator="equal">
      <formula>"Construction"</formula>
    </cfRule>
    <cfRule type="cellIs" dxfId="274"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99"/>
    <outlinePr summaryBelow="0" summaryRight="0"/>
  </sheetPr>
  <dimension ref="A1:O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201" customWidth="1"/>
    <col min="5" max="5" width="71.44140625" style="47" customWidth="1"/>
    <col min="6" max="6" width="16.33203125" style="47" customWidth="1"/>
    <col min="7" max="8" width="15.109375" style="47" customWidth="1"/>
    <col min="9" max="9" width="3.44140625" style="47" customWidth="1"/>
    <col min="10" max="15" width="15.109375" style="47" customWidth="1"/>
    <col min="16" max="16" width="15.109375" style="47" hidden="1" customWidth="1"/>
    <col min="17" max="16384" width="15.109375" style="47" hidden="1"/>
  </cols>
  <sheetData>
    <row r="1" spans="1:15" s="71" customFormat="1" ht="25">
      <c r="A1" s="46" t="str">
        <f ca="1" xml:space="preserve"> RIGHT(CELL("filename", A1), LEN(CELL("filename", A1)) - SEARCH("]", CELL("filename", A1)))</f>
        <v>InpT</v>
      </c>
      <c r="B1" s="81"/>
      <c r="C1" s="84"/>
      <c r="D1" s="196"/>
      <c r="F1" s="53" t="str">
        <f>HYPERLINK("#Contents!A1","Go to contents")</f>
        <v>Go to contents</v>
      </c>
      <c r="H1" s="59"/>
      <c r="J1" s="59"/>
    </row>
    <row r="2" spans="1:15" s="55" customFormat="1">
      <c r="A2" s="58"/>
      <c r="B2" s="58"/>
      <c r="C2" s="83"/>
      <c r="D2" s="203"/>
      <c r="E2" s="159" t="s">
        <v>332</v>
      </c>
      <c r="F2" s="52">
        <f ca="1" xml:space="preserve"> 'Model Checks and Alerts'!F11</f>
        <v>0</v>
      </c>
      <c r="G2" s="56" t="s">
        <v>143</v>
      </c>
      <c r="H2" s="22"/>
      <c r="I2" s="22"/>
      <c r="J2" s="6"/>
      <c r="K2" s="6"/>
      <c r="L2" s="6"/>
      <c r="M2" s="6"/>
      <c r="N2" s="6"/>
      <c r="O2" s="6"/>
    </row>
    <row r="3" spans="1:15" s="55" customFormat="1">
      <c r="A3" s="58"/>
      <c r="B3" s="58"/>
      <c r="C3" s="83"/>
      <c r="D3" s="203"/>
      <c r="E3" s="15" t="s">
        <v>207</v>
      </c>
      <c r="F3" s="52"/>
      <c r="G3" s="56" t="s">
        <v>98</v>
      </c>
      <c r="H3" s="22"/>
      <c r="I3" s="22"/>
      <c r="J3" s="7"/>
      <c r="K3" s="7"/>
      <c r="L3" s="7"/>
      <c r="M3" s="7"/>
      <c r="N3" s="7"/>
      <c r="O3" s="7"/>
    </row>
    <row r="4" spans="1:15" s="55" customFormat="1">
      <c r="A4" s="58"/>
      <c r="B4" s="58"/>
      <c r="C4" s="83"/>
      <c r="D4" s="203"/>
      <c r="E4" s="26" t="s">
        <v>333</v>
      </c>
      <c r="F4" s="47"/>
      <c r="G4" s="47"/>
      <c r="H4" s="22"/>
      <c r="I4" s="22"/>
      <c r="J4" s="26"/>
      <c r="K4" s="26"/>
      <c r="L4" s="26"/>
      <c r="M4" s="26"/>
      <c r="N4" s="26"/>
      <c r="O4" s="26"/>
    </row>
    <row r="5" spans="1:15" s="55" customFormat="1">
      <c r="A5" s="58"/>
      <c r="B5" s="58"/>
      <c r="C5" s="83"/>
      <c r="D5" s="203"/>
      <c r="E5" s="15" t="s">
        <v>311</v>
      </c>
      <c r="F5" s="25"/>
      <c r="G5" s="25" t="s">
        <v>229</v>
      </c>
      <c r="H5" s="25"/>
      <c r="I5" s="22"/>
      <c r="J5" s="15"/>
      <c r="K5" s="15"/>
      <c r="L5" s="15"/>
      <c r="M5" s="15"/>
      <c r="N5" s="15"/>
      <c r="O5" s="15"/>
    </row>
  </sheetData>
  <conditionalFormatting sqref="F2:F3">
    <cfRule type="cellIs" dxfId="273" priority="1" stopIfTrue="1" operator="notEqual">
      <formula>0</formula>
    </cfRule>
    <cfRule type="cellIs" dxfId="272" priority="2" stopIfTrue="1" operator="equal">
      <formula>""</formula>
    </cfRule>
  </conditionalFormatting>
  <conditionalFormatting sqref="J3:O3">
    <cfRule type="cellIs" dxfId="271" priority="3" operator="equal">
      <formula>"PPA ext."</formula>
    </cfRule>
    <cfRule type="cellIs" dxfId="270" priority="4" operator="equal">
      <formula>"Delay"</formula>
    </cfRule>
    <cfRule type="cellIs" dxfId="269" priority="5" operator="equal">
      <formula>"Fin Close"</formula>
    </cfRule>
    <cfRule type="cellIs" dxfId="268" priority="6" stopIfTrue="1" operator="equal">
      <formula>"Construction"</formula>
    </cfRule>
    <cfRule type="cellIs" dxfId="267"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A1:BQ36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4" customWidth="1"/>
    <col min="5" max="5" width="70.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5546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5546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Time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t="shared" ref="J2:BQ2" si="0" xml:space="preserve"> J$19</f>
        <v>45077</v>
      </c>
      <c r="K2" s="6">
        <f t="shared" si="0"/>
        <v>45107</v>
      </c>
      <c r="L2" s="6">
        <f t="shared" si="0"/>
        <v>45138</v>
      </c>
      <c r="M2" s="6">
        <f t="shared" si="0"/>
        <v>45169</v>
      </c>
      <c r="N2" s="6">
        <f t="shared" si="0"/>
        <v>45199</v>
      </c>
      <c r="O2" s="6">
        <f t="shared" si="0"/>
        <v>45230</v>
      </c>
      <c r="P2" s="6">
        <f t="shared" si="0"/>
        <v>45260</v>
      </c>
      <c r="Q2" s="6">
        <f t="shared" si="0"/>
        <v>45291</v>
      </c>
      <c r="R2" s="6">
        <f t="shared" si="0"/>
        <v>45322</v>
      </c>
      <c r="S2" s="6">
        <f t="shared" si="0"/>
        <v>45351</v>
      </c>
      <c r="T2" s="6">
        <f t="shared" si="0"/>
        <v>45382</v>
      </c>
      <c r="U2" s="6">
        <f t="shared" si="0"/>
        <v>45412</v>
      </c>
      <c r="V2" s="6">
        <f t="shared" si="0"/>
        <v>45443</v>
      </c>
      <c r="W2" s="6">
        <f t="shared" si="0"/>
        <v>45473</v>
      </c>
      <c r="X2" s="6">
        <f t="shared" si="0"/>
        <v>45504</v>
      </c>
      <c r="Y2" s="6">
        <f t="shared" si="0"/>
        <v>45535</v>
      </c>
      <c r="Z2" s="6">
        <f t="shared" si="0"/>
        <v>45565</v>
      </c>
      <c r="AA2" s="6">
        <f t="shared" si="0"/>
        <v>45596</v>
      </c>
      <c r="AB2" s="6">
        <f t="shared" si="0"/>
        <v>45626</v>
      </c>
      <c r="AC2" s="6">
        <f t="shared" si="0"/>
        <v>45657</v>
      </c>
      <c r="AD2" s="6">
        <f t="shared" si="0"/>
        <v>45688</v>
      </c>
      <c r="AE2" s="6">
        <f t="shared" si="0"/>
        <v>45716</v>
      </c>
      <c r="AF2" s="6">
        <f t="shared" si="0"/>
        <v>45747</v>
      </c>
      <c r="AG2" s="6">
        <f t="shared" si="0"/>
        <v>45777</v>
      </c>
      <c r="AH2" s="6">
        <f t="shared" si="0"/>
        <v>45808</v>
      </c>
      <c r="AI2" s="6">
        <f t="shared" si="0"/>
        <v>45838</v>
      </c>
      <c r="AJ2" s="6">
        <f t="shared" si="0"/>
        <v>45869</v>
      </c>
      <c r="AK2" s="6">
        <f t="shared" si="0"/>
        <v>45900</v>
      </c>
      <c r="AL2" s="6">
        <f t="shared" si="0"/>
        <v>45930</v>
      </c>
      <c r="AM2" s="6">
        <f t="shared" si="0"/>
        <v>45961</v>
      </c>
      <c r="AN2" s="6">
        <f t="shared" si="0"/>
        <v>45991</v>
      </c>
      <c r="AO2" s="6">
        <f t="shared" si="0"/>
        <v>46022</v>
      </c>
      <c r="AP2" s="6">
        <f t="shared" si="0"/>
        <v>46053</v>
      </c>
      <c r="AQ2" s="6">
        <f t="shared" si="0"/>
        <v>46081</v>
      </c>
      <c r="AR2" s="6">
        <f t="shared" si="0"/>
        <v>46112</v>
      </c>
      <c r="AS2" s="6">
        <f t="shared" si="0"/>
        <v>46142</v>
      </c>
      <c r="AT2" s="6">
        <f t="shared" si="0"/>
        <v>46173</v>
      </c>
      <c r="AU2" s="6">
        <f t="shared" si="0"/>
        <v>46203</v>
      </c>
      <c r="AV2" s="6">
        <f t="shared" si="0"/>
        <v>46234</v>
      </c>
      <c r="AW2" s="6">
        <f t="shared" si="0"/>
        <v>46265</v>
      </c>
      <c r="AX2" s="6">
        <f t="shared" si="0"/>
        <v>46295</v>
      </c>
      <c r="AY2" s="6">
        <f t="shared" si="0"/>
        <v>46326</v>
      </c>
      <c r="AZ2" s="6">
        <f t="shared" si="0"/>
        <v>46356</v>
      </c>
      <c r="BA2" s="6">
        <f t="shared" si="0"/>
        <v>46387</v>
      </c>
      <c r="BB2" s="6">
        <f t="shared" si="0"/>
        <v>46418</v>
      </c>
      <c r="BC2" s="6">
        <f t="shared" si="0"/>
        <v>46446</v>
      </c>
      <c r="BD2" s="6">
        <f t="shared" si="0"/>
        <v>46477</v>
      </c>
      <c r="BE2" s="6">
        <f t="shared" si="0"/>
        <v>46507</v>
      </c>
      <c r="BF2" s="6">
        <f t="shared" si="0"/>
        <v>46538</v>
      </c>
      <c r="BG2" s="6">
        <f t="shared" si="0"/>
        <v>46568</v>
      </c>
      <c r="BH2" s="6">
        <f t="shared" si="0"/>
        <v>46599</v>
      </c>
      <c r="BI2" s="6">
        <f t="shared" si="0"/>
        <v>46630</v>
      </c>
      <c r="BJ2" s="6">
        <f t="shared" si="0"/>
        <v>46660</v>
      </c>
      <c r="BK2" s="6">
        <f t="shared" si="0"/>
        <v>46691</v>
      </c>
      <c r="BL2" s="6">
        <f t="shared" si="0"/>
        <v>46721</v>
      </c>
      <c r="BM2" s="6">
        <f t="shared" si="0"/>
        <v>46752</v>
      </c>
      <c r="BN2" s="6">
        <f t="shared" si="0"/>
        <v>46783</v>
      </c>
      <c r="BO2" s="6">
        <f t="shared" si="0"/>
        <v>46812</v>
      </c>
      <c r="BP2" s="6">
        <f t="shared" si="0"/>
        <v>46843</v>
      </c>
      <c r="BQ2" s="6">
        <f t="shared" si="0"/>
        <v>46873</v>
      </c>
    </row>
    <row r="3" spans="1:69" s="32" customFormat="1">
      <c r="A3" s="58"/>
      <c r="B3" s="58"/>
      <c r="C3" s="83"/>
      <c r="D3" s="90"/>
      <c r="E3" s="41" t="s">
        <v>207</v>
      </c>
      <c r="F3" s="52"/>
      <c r="G3" s="56" t="s">
        <v>98</v>
      </c>
      <c r="H3" s="22"/>
      <c r="I3" s="22"/>
      <c r="J3" s="7" t="str">
        <f t="shared" ref="J3:BQ3" si="1" xml:space="preserve"> J$24</f>
        <v>Month1</v>
      </c>
      <c r="K3" s="7" t="str">
        <f t="shared" si="1"/>
        <v>Month2</v>
      </c>
      <c r="L3" s="7" t="str">
        <f t="shared" si="1"/>
        <v>Month3</v>
      </c>
      <c r="M3" s="7" t="str">
        <f t="shared" si="1"/>
        <v>Month4</v>
      </c>
      <c r="N3" s="7" t="str">
        <f t="shared" si="1"/>
        <v>Month5</v>
      </c>
      <c r="O3" s="7" t="str">
        <f t="shared" si="1"/>
        <v>Month6</v>
      </c>
      <c r="P3" s="7" t="str">
        <f t="shared" si="1"/>
        <v>Month7</v>
      </c>
      <c r="Q3" s="7" t="str">
        <f t="shared" si="1"/>
        <v>Month8</v>
      </c>
      <c r="R3" s="7" t="str">
        <f t="shared" si="1"/>
        <v>Month9</v>
      </c>
      <c r="S3" s="7" t="str">
        <f t="shared" si="1"/>
        <v>Month10</v>
      </c>
      <c r="T3" s="7" t="str">
        <f t="shared" si="1"/>
        <v>Month11</v>
      </c>
      <c r="U3" s="7" t="str">
        <f t="shared" si="1"/>
        <v>Month12</v>
      </c>
      <c r="V3" s="7" t="str">
        <f t="shared" si="1"/>
        <v>Month13</v>
      </c>
      <c r="W3" s="7" t="str">
        <f t="shared" si="1"/>
        <v>Month14</v>
      </c>
      <c r="X3" s="7" t="str">
        <f t="shared" si="1"/>
        <v>Month15</v>
      </c>
      <c r="Y3" s="7" t="str">
        <f t="shared" si="1"/>
        <v>Month16</v>
      </c>
      <c r="Z3" s="7" t="str">
        <f t="shared" si="1"/>
        <v>Month17</v>
      </c>
      <c r="AA3" s="7" t="str">
        <f t="shared" si="1"/>
        <v>Month18</v>
      </c>
      <c r="AB3" s="7" t="str">
        <f t="shared" si="1"/>
        <v>Month19</v>
      </c>
      <c r="AC3" s="7" t="str">
        <f t="shared" si="1"/>
        <v>Month20</v>
      </c>
      <c r="AD3" s="7" t="str">
        <f t="shared" si="1"/>
        <v>Month21</v>
      </c>
      <c r="AE3" s="7" t="str">
        <f t="shared" si="1"/>
        <v>Month22</v>
      </c>
      <c r="AF3" s="7" t="str">
        <f t="shared" si="1"/>
        <v>Month23</v>
      </c>
      <c r="AG3" s="7" t="str">
        <f t="shared" si="1"/>
        <v>Month24</v>
      </c>
      <c r="AH3" s="7" t="str">
        <f t="shared" si="1"/>
        <v>Month25</v>
      </c>
      <c r="AI3" s="7" t="str">
        <f t="shared" si="1"/>
        <v>Month26</v>
      </c>
      <c r="AJ3" s="7" t="str">
        <f t="shared" si="1"/>
        <v>Month27</v>
      </c>
      <c r="AK3" s="7" t="str">
        <f t="shared" si="1"/>
        <v>Month28</v>
      </c>
      <c r="AL3" s="7" t="str">
        <f t="shared" si="1"/>
        <v>Month29</v>
      </c>
      <c r="AM3" s="7" t="str">
        <f t="shared" si="1"/>
        <v>Month30</v>
      </c>
      <c r="AN3" s="7" t="str">
        <f t="shared" si="1"/>
        <v>Month31</v>
      </c>
      <c r="AO3" s="7" t="str">
        <f t="shared" si="1"/>
        <v>Month32</v>
      </c>
      <c r="AP3" s="7" t="str">
        <f t="shared" si="1"/>
        <v>Month33</v>
      </c>
      <c r="AQ3" s="7" t="str">
        <f t="shared" si="1"/>
        <v>Month34</v>
      </c>
      <c r="AR3" s="7" t="str">
        <f t="shared" si="1"/>
        <v>Month35</v>
      </c>
      <c r="AS3" s="7" t="str">
        <f t="shared" si="1"/>
        <v>Month36</v>
      </c>
      <c r="AT3" s="7" t="str">
        <f t="shared" si="1"/>
        <v>Month37</v>
      </c>
      <c r="AU3" s="7" t="str">
        <f t="shared" si="1"/>
        <v>Month38</v>
      </c>
      <c r="AV3" s="7" t="str">
        <f t="shared" si="1"/>
        <v>Month39</v>
      </c>
      <c r="AW3" s="7" t="str">
        <f t="shared" si="1"/>
        <v>Month40</v>
      </c>
      <c r="AX3" s="7" t="str">
        <f t="shared" si="1"/>
        <v>Month41</v>
      </c>
      <c r="AY3" s="7" t="str">
        <f t="shared" si="1"/>
        <v>Month42</v>
      </c>
      <c r="AZ3" s="7" t="str">
        <f t="shared" si="1"/>
        <v>Month43</v>
      </c>
      <c r="BA3" s="7" t="str">
        <f t="shared" si="1"/>
        <v>Month44</v>
      </c>
      <c r="BB3" s="7" t="str">
        <f t="shared" si="1"/>
        <v>Month45</v>
      </c>
      <c r="BC3" s="7" t="str">
        <f t="shared" si="1"/>
        <v>Month46</v>
      </c>
      <c r="BD3" s="7" t="str">
        <f t="shared" si="1"/>
        <v>Month47</v>
      </c>
      <c r="BE3" s="7" t="str">
        <f t="shared" si="1"/>
        <v>Month48</v>
      </c>
      <c r="BF3" s="7" t="str">
        <f t="shared" si="1"/>
        <v>Month49</v>
      </c>
      <c r="BG3" s="7" t="str">
        <f t="shared" si="1"/>
        <v>Month50</v>
      </c>
      <c r="BH3" s="7" t="str">
        <f t="shared" si="1"/>
        <v>Month51</v>
      </c>
      <c r="BI3" s="7" t="str">
        <f t="shared" si="1"/>
        <v>Month52</v>
      </c>
      <c r="BJ3" s="7" t="str">
        <f t="shared" si="1"/>
        <v>Month53</v>
      </c>
      <c r="BK3" s="7" t="str">
        <f t="shared" si="1"/>
        <v>Month54</v>
      </c>
      <c r="BL3" s="7" t="str">
        <f t="shared" si="1"/>
        <v>Month55</v>
      </c>
      <c r="BM3" s="7" t="str">
        <f t="shared" si="1"/>
        <v>Month56</v>
      </c>
      <c r="BN3" s="7" t="str">
        <f t="shared" si="1"/>
        <v>Month57</v>
      </c>
      <c r="BO3" s="7" t="str">
        <f t="shared" si="1"/>
        <v>Month58</v>
      </c>
      <c r="BP3" s="7" t="str">
        <f t="shared" si="1"/>
        <v>Month59</v>
      </c>
      <c r="BQ3" s="7" t="str">
        <f t="shared" si="1"/>
        <v>Month60</v>
      </c>
    </row>
    <row r="4" spans="1:69" s="26" customFormat="1">
      <c r="A4" s="58"/>
      <c r="B4" s="58"/>
      <c r="C4" s="83"/>
      <c r="D4" s="90"/>
      <c r="E4" s="22" t="s">
        <v>333</v>
      </c>
      <c r="F4" s="25"/>
      <c r="G4" s="22"/>
      <c r="H4" s="22"/>
      <c r="I4" s="22"/>
      <c r="J4" s="26">
        <f t="shared" ref="J4:BQ4" si="2" xml:space="preserve"> J$28</f>
        <v>1</v>
      </c>
      <c r="K4" s="26">
        <f t="shared" si="2"/>
        <v>2</v>
      </c>
      <c r="L4" s="26">
        <f t="shared" si="2"/>
        <v>3</v>
      </c>
      <c r="M4" s="26">
        <f t="shared" si="2"/>
        <v>4</v>
      </c>
      <c r="N4" s="26">
        <f t="shared" si="2"/>
        <v>5</v>
      </c>
      <c r="O4" s="26">
        <f t="shared" si="2"/>
        <v>6</v>
      </c>
      <c r="P4" s="26">
        <f t="shared" si="2"/>
        <v>7</v>
      </c>
      <c r="Q4" s="26">
        <f t="shared" si="2"/>
        <v>8</v>
      </c>
      <c r="R4" s="26">
        <f t="shared" si="2"/>
        <v>9</v>
      </c>
      <c r="S4" s="26">
        <f t="shared" si="2"/>
        <v>10</v>
      </c>
      <c r="T4" s="26">
        <f t="shared" si="2"/>
        <v>11</v>
      </c>
      <c r="U4" s="26">
        <f t="shared" si="2"/>
        <v>12</v>
      </c>
      <c r="V4" s="26">
        <f t="shared" si="2"/>
        <v>13</v>
      </c>
      <c r="W4" s="26">
        <f t="shared" si="2"/>
        <v>14</v>
      </c>
      <c r="X4" s="26">
        <f t="shared" si="2"/>
        <v>15</v>
      </c>
      <c r="Y4" s="26">
        <f t="shared" si="2"/>
        <v>16</v>
      </c>
      <c r="Z4" s="26">
        <f t="shared" si="2"/>
        <v>17</v>
      </c>
      <c r="AA4" s="26">
        <f t="shared" si="2"/>
        <v>18</v>
      </c>
      <c r="AB4" s="26">
        <f t="shared" si="2"/>
        <v>19</v>
      </c>
      <c r="AC4" s="26">
        <f t="shared" si="2"/>
        <v>20</v>
      </c>
      <c r="AD4" s="26">
        <f t="shared" si="2"/>
        <v>21</v>
      </c>
      <c r="AE4" s="26">
        <f t="shared" si="2"/>
        <v>22</v>
      </c>
      <c r="AF4" s="26">
        <f t="shared" si="2"/>
        <v>23</v>
      </c>
      <c r="AG4" s="26">
        <f t="shared" si="2"/>
        <v>24</v>
      </c>
      <c r="AH4" s="26">
        <f t="shared" si="2"/>
        <v>25</v>
      </c>
      <c r="AI4" s="26">
        <f t="shared" si="2"/>
        <v>26</v>
      </c>
      <c r="AJ4" s="26">
        <f t="shared" si="2"/>
        <v>27</v>
      </c>
      <c r="AK4" s="26">
        <f t="shared" si="2"/>
        <v>28</v>
      </c>
      <c r="AL4" s="26">
        <f t="shared" si="2"/>
        <v>29</v>
      </c>
      <c r="AM4" s="26">
        <f t="shared" si="2"/>
        <v>30</v>
      </c>
      <c r="AN4" s="26">
        <f t="shared" si="2"/>
        <v>31</v>
      </c>
      <c r="AO4" s="26">
        <f t="shared" si="2"/>
        <v>32</v>
      </c>
      <c r="AP4" s="26">
        <f t="shared" si="2"/>
        <v>33</v>
      </c>
      <c r="AQ4" s="26">
        <f t="shared" si="2"/>
        <v>34</v>
      </c>
      <c r="AR4" s="26">
        <f t="shared" si="2"/>
        <v>35</v>
      </c>
      <c r="AS4" s="26">
        <f t="shared" si="2"/>
        <v>36</v>
      </c>
      <c r="AT4" s="26">
        <f t="shared" si="2"/>
        <v>37</v>
      </c>
      <c r="AU4" s="26">
        <f t="shared" si="2"/>
        <v>38</v>
      </c>
      <c r="AV4" s="26">
        <f t="shared" si="2"/>
        <v>39</v>
      </c>
      <c r="AW4" s="26">
        <f t="shared" si="2"/>
        <v>40</v>
      </c>
      <c r="AX4" s="26">
        <f t="shared" si="2"/>
        <v>41</v>
      </c>
      <c r="AY4" s="26">
        <f t="shared" si="2"/>
        <v>42</v>
      </c>
      <c r="AZ4" s="26">
        <f t="shared" si="2"/>
        <v>43</v>
      </c>
      <c r="BA4" s="26">
        <f t="shared" si="2"/>
        <v>44</v>
      </c>
      <c r="BB4" s="26">
        <f t="shared" si="2"/>
        <v>45</v>
      </c>
      <c r="BC4" s="26">
        <f t="shared" si="2"/>
        <v>46</v>
      </c>
      <c r="BD4" s="26">
        <f t="shared" si="2"/>
        <v>47</v>
      </c>
      <c r="BE4" s="26">
        <f t="shared" si="2"/>
        <v>48</v>
      </c>
      <c r="BF4" s="26">
        <f t="shared" si="2"/>
        <v>49</v>
      </c>
      <c r="BG4" s="26">
        <f t="shared" si="2"/>
        <v>50</v>
      </c>
      <c r="BH4" s="26">
        <f t="shared" si="2"/>
        <v>51</v>
      </c>
      <c r="BI4" s="26">
        <f t="shared" si="2"/>
        <v>52</v>
      </c>
      <c r="BJ4" s="26">
        <f t="shared" si="2"/>
        <v>53</v>
      </c>
      <c r="BK4" s="26">
        <f t="shared" si="2"/>
        <v>54</v>
      </c>
      <c r="BL4" s="26">
        <f t="shared" si="2"/>
        <v>55</v>
      </c>
      <c r="BM4" s="26">
        <f t="shared" si="2"/>
        <v>56</v>
      </c>
      <c r="BN4" s="26">
        <f t="shared" si="2"/>
        <v>57</v>
      </c>
      <c r="BO4" s="26">
        <f t="shared" si="2"/>
        <v>58</v>
      </c>
      <c r="BP4" s="26">
        <f t="shared" si="2"/>
        <v>59</v>
      </c>
      <c r="BQ4" s="26">
        <f t="shared" si="2"/>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31</v>
      </c>
    </row>
    <row r="9" spans="1:69" outlineLevel="1">
      <c r="A9" s="18"/>
      <c r="B9" s="18"/>
      <c r="C9" s="28"/>
      <c r="D9" s="27"/>
      <c r="E9" s="20" t="str">
        <f xml:space="preserve">  InpC!E$102</f>
        <v>Start date</v>
      </c>
      <c r="F9" s="20">
        <f xml:space="preserve">  InpC!F$102</f>
        <v>45047</v>
      </c>
      <c r="G9" s="20" t="str">
        <f xml:space="preserve">  InpC!G$102</f>
        <v>date</v>
      </c>
      <c r="M9" s="8"/>
    </row>
    <row r="10" spans="1:69" outlineLevel="1">
      <c r="A10" s="18"/>
      <c r="B10" s="18"/>
      <c r="C10" s="28"/>
      <c r="D10" s="27"/>
      <c r="E10" s="4" t="str">
        <f xml:space="preserve">  InpC!E$100</f>
        <v>Months per period (Primary)</v>
      </c>
      <c r="F10" s="4">
        <f xml:space="preserve">  InpC!F$100</f>
        <v>1</v>
      </c>
      <c r="G10" s="4" t="str">
        <f xml:space="preserve">  InpC!G$100</f>
        <v>Months</v>
      </c>
      <c r="M10" s="2"/>
    </row>
    <row r="11" spans="1:69" outlineLevel="1">
      <c r="E11" s="5" t="str">
        <f t="shared" ref="E11:BQ11" si="3" xml:space="preserve">  E$28</f>
        <v>Period number</v>
      </c>
      <c r="F11" s="5">
        <f t="shared" si="3"/>
        <v>0</v>
      </c>
      <c r="G11" s="5" t="str">
        <f t="shared" si="3"/>
        <v>Counter</v>
      </c>
      <c r="H11" s="5">
        <f t="shared" si="3"/>
        <v>0</v>
      </c>
      <c r="I11" s="5">
        <f t="shared" si="3"/>
        <v>0</v>
      </c>
      <c r="J11" s="5">
        <f t="shared" si="3"/>
        <v>1</v>
      </c>
      <c r="K11" s="5">
        <f t="shared" si="3"/>
        <v>2</v>
      </c>
      <c r="L11" s="5">
        <f t="shared" si="3"/>
        <v>3</v>
      </c>
      <c r="M11" s="5">
        <f t="shared" si="3"/>
        <v>4</v>
      </c>
      <c r="N11" s="5">
        <f t="shared" si="3"/>
        <v>5</v>
      </c>
      <c r="O11" s="5">
        <f t="shared" si="3"/>
        <v>6</v>
      </c>
      <c r="P11" s="5">
        <f t="shared" si="3"/>
        <v>7</v>
      </c>
      <c r="Q11" s="5">
        <f t="shared" si="3"/>
        <v>8</v>
      </c>
      <c r="R11" s="5">
        <f t="shared" si="3"/>
        <v>9</v>
      </c>
      <c r="S11" s="5">
        <f t="shared" si="3"/>
        <v>10</v>
      </c>
      <c r="T11" s="5">
        <f t="shared" si="3"/>
        <v>11</v>
      </c>
      <c r="U11" s="5">
        <f t="shared" si="3"/>
        <v>12</v>
      </c>
      <c r="V11" s="5">
        <f t="shared" si="3"/>
        <v>13</v>
      </c>
      <c r="W11" s="5">
        <f t="shared" si="3"/>
        <v>14</v>
      </c>
      <c r="X11" s="5">
        <f t="shared" si="3"/>
        <v>15</v>
      </c>
      <c r="Y11" s="5">
        <f t="shared" si="3"/>
        <v>16</v>
      </c>
      <c r="Z11" s="5">
        <f t="shared" si="3"/>
        <v>17</v>
      </c>
      <c r="AA11" s="5">
        <f t="shared" si="3"/>
        <v>18</v>
      </c>
      <c r="AB11" s="5">
        <f t="shared" si="3"/>
        <v>19</v>
      </c>
      <c r="AC11" s="5">
        <f t="shared" si="3"/>
        <v>20</v>
      </c>
      <c r="AD11" s="5">
        <f t="shared" si="3"/>
        <v>21</v>
      </c>
      <c r="AE11" s="5">
        <f t="shared" si="3"/>
        <v>22</v>
      </c>
      <c r="AF11" s="5">
        <f t="shared" si="3"/>
        <v>23</v>
      </c>
      <c r="AG11" s="5">
        <f t="shared" si="3"/>
        <v>24</v>
      </c>
      <c r="AH11" s="5">
        <f t="shared" si="3"/>
        <v>25</v>
      </c>
      <c r="AI11" s="5">
        <f t="shared" si="3"/>
        <v>26</v>
      </c>
      <c r="AJ11" s="5">
        <f t="shared" si="3"/>
        <v>27</v>
      </c>
      <c r="AK11" s="5">
        <f t="shared" si="3"/>
        <v>28</v>
      </c>
      <c r="AL11" s="5">
        <f t="shared" si="3"/>
        <v>29</v>
      </c>
      <c r="AM11" s="5">
        <f t="shared" si="3"/>
        <v>30</v>
      </c>
      <c r="AN11" s="5">
        <f t="shared" si="3"/>
        <v>31</v>
      </c>
      <c r="AO11" s="5">
        <f t="shared" si="3"/>
        <v>32</v>
      </c>
      <c r="AP11" s="5">
        <f t="shared" si="3"/>
        <v>33</v>
      </c>
      <c r="AQ11" s="5">
        <f t="shared" si="3"/>
        <v>34</v>
      </c>
      <c r="AR11" s="5">
        <f t="shared" si="3"/>
        <v>35</v>
      </c>
      <c r="AS11" s="5">
        <f t="shared" si="3"/>
        <v>36</v>
      </c>
      <c r="AT11" s="5">
        <f t="shared" si="3"/>
        <v>37</v>
      </c>
      <c r="AU11" s="5">
        <f t="shared" si="3"/>
        <v>38</v>
      </c>
      <c r="AV11" s="5">
        <f t="shared" si="3"/>
        <v>39</v>
      </c>
      <c r="AW11" s="5">
        <f t="shared" si="3"/>
        <v>40</v>
      </c>
      <c r="AX11" s="5">
        <f t="shared" si="3"/>
        <v>41</v>
      </c>
      <c r="AY11" s="5">
        <f t="shared" si="3"/>
        <v>42</v>
      </c>
      <c r="AZ11" s="5">
        <f t="shared" si="3"/>
        <v>43</v>
      </c>
      <c r="BA11" s="5">
        <f t="shared" si="3"/>
        <v>44</v>
      </c>
      <c r="BB11" s="5">
        <f t="shared" si="3"/>
        <v>45</v>
      </c>
      <c r="BC11" s="5">
        <f t="shared" si="3"/>
        <v>46</v>
      </c>
      <c r="BD11" s="5">
        <f t="shared" si="3"/>
        <v>47</v>
      </c>
      <c r="BE11" s="5">
        <f t="shared" si="3"/>
        <v>48</v>
      </c>
      <c r="BF11" s="5">
        <f t="shared" si="3"/>
        <v>49</v>
      </c>
      <c r="BG11" s="5">
        <f t="shared" si="3"/>
        <v>50</v>
      </c>
      <c r="BH11" s="5">
        <f t="shared" si="3"/>
        <v>51</v>
      </c>
      <c r="BI11" s="5">
        <f t="shared" si="3"/>
        <v>52</v>
      </c>
      <c r="BJ11" s="5">
        <f t="shared" si="3"/>
        <v>53</v>
      </c>
      <c r="BK11" s="5">
        <f t="shared" si="3"/>
        <v>54</v>
      </c>
      <c r="BL11" s="5">
        <f t="shared" si="3"/>
        <v>55</v>
      </c>
      <c r="BM11" s="5">
        <f t="shared" si="3"/>
        <v>56</v>
      </c>
      <c r="BN11" s="5">
        <f t="shared" si="3"/>
        <v>57</v>
      </c>
      <c r="BO11" s="5">
        <f t="shared" si="3"/>
        <v>58</v>
      </c>
      <c r="BP11" s="5">
        <f t="shared" si="3"/>
        <v>59</v>
      </c>
      <c r="BQ11" s="5">
        <f t="shared" si="3"/>
        <v>60</v>
      </c>
    </row>
    <row r="12" spans="1:69" outlineLevel="1">
      <c r="A12" s="34"/>
      <c r="B12" s="34"/>
      <c r="C12" s="64"/>
      <c r="D12" s="65"/>
      <c r="E12" s="21" t="s">
        <v>31</v>
      </c>
      <c r="F12" s="21"/>
      <c r="G12" s="21" t="s">
        <v>214</v>
      </c>
      <c r="H12" s="21"/>
      <c r="I12" s="21"/>
      <c r="J12" s="13">
        <f t="shared" ref="J12:BQ12" si="4" xml:space="preserve">  IF( J11 = 1, $F9, EDATE( I12, $F10 ) )</f>
        <v>45047</v>
      </c>
      <c r="K12" s="13">
        <f t="shared" si="4"/>
        <v>45078</v>
      </c>
      <c r="L12" s="13">
        <f t="shared" si="4"/>
        <v>45108</v>
      </c>
      <c r="M12" s="13">
        <f t="shared" si="4"/>
        <v>45139</v>
      </c>
      <c r="N12" s="13">
        <f t="shared" si="4"/>
        <v>45170</v>
      </c>
      <c r="O12" s="13">
        <f t="shared" si="4"/>
        <v>45200</v>
      </c>
      <c r="P12" s="13">
        <f t="shared" si="4"/>
        <v>45231</v>
      </c>
      <c r="Q12" s="13">
        <f t="shared" si="4"/>
        <v>45261</v>
      </c>
      <c r="R12" s="13">
        <f t="shared" si="4"/>
        <v>45292</v>
      </c>
      <c r="S12" s="13">
        <f t="shared" si="4"/>
        <v>45323</v>
      </c>
      <c r="T12" s="13">
        <f t="shared" si="4"/>
        <v>45352</v>
      </c>
      <c r="U12" s="13">
        <f t="shared" si="4"/>
        <v>45383</v>
      </c>
      <c r="V12" s="13">
        <f t="shared" si="4"/>
        <v>45413</v>
      </c>
      <c r="W12" s="13">
        <f t="shared" si="4"/>
        <v>45444</v>
      </c>
      <c r="X12" s="13">
        <f t="shared" si="4"/>
        <v>45474</v>
      </c>
      <c r="Y12" s="13">
        <f t="shared" si="4"/>
        <v>45505</v>
      </c>
      <c r="Z12" s="13">
        <f t="shared" si="4"/>
        <v>45536</v>
      </c>
      <c r="AA12" s="13">
        <f t="shared" si="4"/>
        <v>45566</v>
      </c>
      <c r="AB12" s="13">
        <f t="shared" si="4"/>
        <v>45597</v>
      </c>
      <c r="AC12" s="13">
        <f t="shared" si="4"/>
        <v>45627</v>
      </c>
      <c r="AD12" s="13">
        <f t="shared" si="4"/>
        <v>45658</v>
      </c>
      <c r="AE12" s="13">
        <f t="shared" si="4"/>
        <v>45689</v>
      </c>
      <c r="AF12" s="13">
        <f t="shared" si="4"/>
        <v>45717</v>
      </c>
      <c r="AG12" s="13">
        <f t="shared" si="4"/>
        <v>45748</v>
      </c>
      <c r="AH12" s="13">
        <f t="shared" si="4"/>
        <v>45778</v>
      </c>
      <c r="AI12" s="13">
        <f t="shared" si="4"/>
        <v>45809</v>
      </c>
      <c r="AJ12" s="13">
        <f t="shared" si="4"/>
        <v>45839</v>
      </c>
      <c r="AK12" s="13">
        <f t="shared" si="4"/>
        <v>45870</v>
      </c>
      <c r="AL12" s="13">
        <f t="shared" si="4"/>
        <v>45901</v>
      </c>
      <c r="AM12" s="13">
        <f t="shared" si="4"/>
        <v>45931</v>
      </c>
      <c r="AN12" s="13">
        <f t="shared" si="4"/>
        <v>45962</v>
      </c>
      <c r="AO12" s="13">
        <f t="shared" si="4"/>
        <v>45992</v>
      </c>
      <c r="AP12" s="13">
        <f t="shared" si="4"/>
        <v>46023</v>
      </c>
      <c r="AQ12" s="13">
        <f t="shared" si="4"/>
        <v>46054</v>
      </c>
      <c r="AR12" s="13">
        <f t="shared" si="4"/>
        <v>46082</v>
      </c>
      <c r="AS12" s="13">
        <f t="shared" si="4"/>
        <v>46113</v>
      </c>
      <c r="AT12" s="13">
        <f t="shared" si="4"/>
        <v>46143</v>
      </c>
      <c r="AU12" s="13">
        <f t="shared" si="4"/>
        <v>46174</v>
      </c>
      <c r="AV12" s="13">
        <f t="shared" si="4"/>
        <v>46204</v>
      </c>
      <c r="AW12" s="13">
        <f t="shared" si="4"/>
        <v>46235</v>
      </c>
      <c r="AX12" s="13">
        <f t="shared" si="4"/>
        <v>46266</v>
      </c>
      <c r="AY12" s="13">
        <f t="shared" si="4"/>
        <v>46296</v>
      </c>
      <c r="AZ12" s="13">
        <f t="shared" si="4"/>
        <v>46327</v>
      </c>
      <c r="BA12" s="13">
        <f t="shared" si="4"/>
        <v>46357</v>
      </c>
      <c r="BB12" s="13">
        <f t="shared" si="4"/>
        <v>46388</v>
      </c>
      <c r="BC12" s="13">
        <f t="shared" si="4"/>
        <v>46419</v>
      </c>
      <c r="BD12" s="13">
        <f t="shared" si="4"/>
        <v>46447</v>
      </c>
      <c r="BE12" s="13">
        <f t="shared" si="4"/>
        <v>46478</v>
      </c>
      <c r="BF12" s="13">
        <f t="shared" si="4"/>
        <v>46508</v>
      </c>
      <c r="BG12" s="13">
        <f t="shared" si="4"/>
        <v>46539</v>
      </c>
      <c r="BH12" s="13">
        <f t="shared" si="4"/>
        <v>46569</v>
      </c>
      <c r="BI12" s="13">
        <f t="shared" si="4"/>
        <v>46600</v>
      </c>
      <c r="BJ12" s="13">
        <f t="shared" si="4"/>
        <v>46631</v>
      </c>
      <c r="BK12" s="13">
        <f t="shared" si="4"/>
        <v>46661</v>
      </c>
      <c r="BL12" s="13">
        <f t="shared" si="4"/>
        <v>46692</v>
      </c>
      <c r="BM12" s="13">
        <f t="shared" si="4"/>
        <v>46722</v>
      </c>
      <c r="BN12" s="13">
        <f t="shared" si="4"/>
        <v>46753</v>
      </c>
      <c r="BO12" s="13">
        <f t="shared" si="4"/>
        <v>46784</v>
      </c>
      <c r="BP12" s="13">
        <f t="shared" si="4"/>
        <v>46813</v>
      </c>
      <c r="BQ12" s="13">
        <f t="shared" si="4"/>
        <v>46844</v>
      </c>
    </row>
    <row r="15" spans="1:69">
      <c r="A15" s="25" t="s">
        <v>168</v>
      </c>
    </row>
    <row r="16" spans="1:69" outlineLevel="1">
      <c r="B16" s="25" t="s">
        <v>332</v>
      </c>
    </row>
    <row r="17" spans="1:69" outlineLevel="2">
      <c r="A17" s="18"/>
      <c r="B17" s="18"/>
      <c r="C17" s="28"/>
      <c r="D17" s="27"/>
      <c r="E17" s="4" t="str">
        <f xml:space="preserve">  InpC!E$100</f>
        <v>Months per period (Primary)</v>
      </c>
      <c r="F17" s="4">
        <f xml:space="preserve">  InpC!F$100</f>
        <v>1</v>
      </c>
      <c r="G17" s="4" t="str">
        <f xml:space="preserve">  InpC!G$100</f>
        <v>Months</v>
      </c>
      <c r="M17" s="2"/>
    </row>
    <row r="18" spans="1:69" outlineLevel="2">
      <c r="E18" s="8" t="str">
        <f t="shared" ref="E18:BQ18" si="5" xml:space="preserve">  E$12</f>
        <v>Model period start</v>
      </c>
      <c r="F18" s="8">
        <f t="shared" si="5"/>
        <v>0</v>
      </c>
      <c r="G18" s="8" t="str">
        <f t="shared" si="5"/>
        <v>date</v>
      </c>
      <c r="H18" s="8">
        <f t="shared" si="5"/>
        <v>0</v>
      </c>
      <c r="I18" s="8">
        <f t="shared" si="5"/>
        <v>0</v>
      </c>
      <c r="J18" s="8">
        <f t="shared" si="5"/>
        <v>45047</v>
      </c>
      <c r="K18" s="8">
        <f t="shared" si="5"/>
        <v>45078</v>
      </c>
      <c r="L18" s="8">
        <f t="shared" si="5"/>
        <v>45108</v>
      </c>
      <c r="M18" s="8">
        <f t="shared" si="5"/>
        <v>45139</v>
      </c>
      <c r="N18" s="8">
        <f t="shared" si="5"/>
        <v>45170</v>
      </c>
      <c r="O18" s="8">
        <f t="shared" si="5"/>
        <v>45200</v>
      </c>
      <c r="P18" s="8">
        <f t="shared" si="5"/>
        <v>45231</v>
      </c>
      <c r="Q18" s="8">
        <f t="shared" si="5"/>
        <v>45261</v>
      </c>
      <c r="R18" s="8">
        <f t="shared" si="5"/>
        <v>45292</v>
      </c>
      <c r="S18" s="8">
        <f t="shared" si="5"/>
        <v>45323</v>
      </c>
      <c r="T18" s="8">
        <f t="shared" si="5"/>
        <v>45352</v>
      </c>
      <c r="U18" s="8">
        <f t="shared" si="5"/>
        <v>45383</v>
      </c>
      <c r="V18" s="8">
        <f t="shared" si="5"/>
        <v>45413</v>
      </c>
      <c r="W18" s="8">
        <f t="shared" si="5"/>
        <v>45444</v>
      </c>
      <c r="X18" s="8">
        <f t="shared" si="5"/>
        <v>45474</v>
      </c>
      <c r="Y18" s="8">
        <f t="shared" si="5"/>
        <v>45505</v>
      </c>
      <c r="Z18" s="8">
        <f t="shared" si="5"/>
        <v>45536</v>
      </c>
      <c r="AA18" s="8">
        <f t="shared" si="5"/>
        <v>45566</v>
      </c>
      <c r="AB18" s="8">
        <f t="shared" si="5"/>
        <v>45597</v>
      </c>
      <c r="AC18" s="8">
        <f t="shared" si="5"/>
        <v>45627</v>
      </c>
      <c r="AD18" s="8">
        <f t="shared" si="5"/>
        <v>45658</v>
      </c>
      <c r="AE18" s="8">
        <f t="shared" si="5"/>
        <v>45689</v>
      </c>
      <c r="AF18" s="8">
        <f t="shared" si="5"/>
        <v>45717</v>
      </c>
      <c r="AG18" s="8">
        <f t="shared" si="5"/>
        <v>45748</v>
      </c>
      <c r="AH18" s="8">
        <f t="shared" si="5"/>
        <v>45778</v>
      </c>
      <c r="AI18" s="8">
        <f t="shared" si="5"/>
        <v>45809</v>
      </c>
      <c r="AJ18" s="8">
        <f t="shared" si="5"/>
        <v>45839</v>
      </c>
      <c r="AK18" s="8">
        <f t="shared" si="5"/>
        <v>45870</v>
      </c>
      <c r="AL18" s="8">
        <f t="shared" si="5"/>
        <v>45901</v>
      </c>
      <c r="AM18" s="8">
        <f t="shared" si="5"/>
        <v>45931</v>
      </c>
      <c r="AN18" s="8">
        <f t="shared" si="5"/>
        <v>45962</v>
      </c>
      <c r="AO18" s="8">
        <f t="shared" si="5"/>
        <v>45992</v>
      </c>
      <c r="AP18" s="8">
        <f t="shared" si="5"/>
        <v>46023</v>
      </c>
      <c r="AQ18" s="8">
        <f t="shared" si="5"/>
        <v>46054</v>
      </c>
      <c r="AR18" s="8">
        <f t="shared" si="5"/>
        <v>46082</v>
      </c>
      <c r="AS18" s="8">
        <f t="shared" si="5"/>
        <v>46113</v>
      </c>
      <c r="AT18" s="8">
        <f t="shared" si="5"/>
        <v>46143</v>
      </c>
      <c r="AU18" s="8">
        <f t="shared" si="5"/>
        <v>46174</v>
      </c>
      <c r="AV18" s="8">
        <f t="shared" si="5"/>
        <v>46204</v>
      </c>
      <c r="AW18" s="8">
        <f t="shared" si="5"/>
        <v>46235</v>
      </c>
      <c r="AX18" s="8">
        <f t="shared" si="5"/>
        <v>46266</v>
      </c>
      <c r="AY18" s="8">
        <f t="shared" si="5"/>
        <v>46296</v>
      </c>
      <c r="AZ18" s="8">
        <f t="shared" si="5"/>
        <v>46327</v>
      </c>
      <c r="BA18" s="8">
        <f t="shared" si="5"/>
        <v>46357</v>
      </c>
      <c r="BB18" s="8">
        <f t="shared" si="5"/>
        <v>46388</v>
      </c>
      <c r="BC18" s="8">
        <f t="shared" si="5"/>
        <v>46419</v>
      </c>
      <c r="BD18" s="8">
        <f t="shared" si="5"/>
        <v>46447</v>
      </c>
      <c r="BE18" s="8">
        <f t="shared" si="5"/>
        <v>46478</v>
      </c>
      <c r="BF18" s="8">
        <f t="shared" si="5"/>
        <v>46508</v>
      </c>
      <c r="BG18" s="8">
        <f t="shared" si="5"/>
        <v>46539</v>
      </c>
      <c r="BH18" s="8">
        <f t="shared" si="5"/>
        <v>46569</v>
      </c>
      <c r="BI18" s="8">
        <f t="shared" si="5"/>
        <v>46600</v>
      </c>
      <c r="BJ18" s="8">
        <f t="shared" si="5"/>
        <v>46631</v>
      </c>
      <c r="BK18" s="8">
        <f t="shared" si="5"/>
        <v>46661</v>
      </c>
      <c r="BL18" s="8">
        <f t="shared" si="5"/>
        <v>46692</v>
      </c>
      <c r="BM18" s="8">
        <f t="shared" si="5"/>
        <v>46722</v>
      </c>
      <c r="BN18" s="8">
        <f t="shared" si="5"/>
        <v>46753</v>
      </c>
      <c r="BO18" s="8">
        <f t="shared" si="5"/>
        <v>46784</v>
      </c>
      <c r="BP18" s="8">
        <f t="shared" si="5"/>
        <v>46813</v>
      </c>
      <c r="BQ18" s="8">
        <f t="shared" si="5"/>
        <v>46844</v>
      </c>
    </row>
    <row r="19" spans="1:69" outlineLevel="2">
      <c r="A19" s="34"/>
      <c r="B19" s="34"/>
      <c r="C19" s="64"/>
      <c r="D19" s="65"/>
      <c r="E19" s="21" t="s">
        <v>332</v>
      </c>
      <c r="F19" s="21"/>
      <c r="G19" s="21" t="s">
        <v>214</v>
      </c>
      <c r="H19" s="21"/>
      <c r="I19" s="21"/>
      <c r="J19" s="13">
        <f t="shared" ref="J19:BQ19" si="6" xml:space="preserve">  EDATE( J18, $F17 ) - 1</f>
        <v>45077</v>
      </c>
      <c r="K19" s="13">
        <f t="shared" si="6"/>
        <v>45107</v>
      </c>
      <c r="L19" s="13">
        <f t="shared" si="6"/>
        <v>45138</v>
      </c>
      <c r="M19" s="13">
        <f t="shared" si="6"/>
        <v>45169</v>
      </c>
      <c r="N19" s="13">
        <f t="shared" si="6"/>
        <v>45199</v>
      </c>
      <c r="O19" s="13">
        <f t="shared" si="6"/>
        <v>45230</v>
      </c>
      <c r="P19" s="13">
        <f t="shared" si="6"/>
        <v>45260</v>
      </c>
      <c r="Q19" s="13">
        <f t="shared" si="6"/>
        <v>45291</v>
      </c>
      <c r="R19" s="13">
        <f t="shared" si="6"/>
        <v>45322</v>
      </c>
      <c r="S19" s="13">
        <f t="shared" si="6"/>
        <v>45351</v>
      </c>
      <c r="T19" s="13">
        <f t="shared" si="6"/>
        <v>45382</v>
      </c>
      <c r="U19" s="13">
        <f t="shared" si="6"/>
        <v>45412</v>
      </c>
      <c r="V19" s="13">
        <f t="shared" si="6"/>
        <v>45443</v>
      </c>
      <c r="W19" s="13">
        <f t="shared" si="6"/>
        <v>45473</v>
      </c>
      <c r="X19" s="13">
        <f t="shared" si="6"/>
        <v>45504</v>
      </c>
      <c r="Y19" s="13">
        <f t="shared" si="6"/>
        <v>45535</v>
      </c>
      <c r="Z19" s="13">
        <f t="shared" si="6"/>
        <v>45565</v>
      </c>
      <c r="AA19" s="13">
        <f t="shared" si="6"/>
        <v>45596</v>
      </c>
      <c r="AB19" s="13">
        <f t="shared" si="6"/>
        <v>45626</v>
      </c>
      <c r="AC19" s="13">
        <f t="shared" si="6"/>
        <v>45657</v>
      </c>
      <c r="AD19" s="13">
        <f t="shared" si="6"/>
        <v>45688</v>
      </c>
      <c r="AE19" s="13">
        <f t="shared" si="6"/>
        <v>45716</v>
      </c>
      <c r="AF19" s="13">
        <f t="shared" si="6"/>
        <v>45747</v>
      </c>
      <c r="AG19" s="13">
        <f t="shared" si="6"/>
        <v>45777</v>
      </c>
      <c r="AH19" s="13">
        <f t="shared" si="6"/>
        <v>45808</v>
      </c>
      <c r="AI19" s="13">
        <f t="shared" si="6"/>
        <v>45838</v>
      </c>
      <c r="AJ19" s="13">
        <f t="shared" si="6"/>
        <v>45869</v>
      </c>
      <c r="AK19" s="13">
        <f t="shared" si="6"/>
        <v>45900</v>
      </c>
      <c r="AL19" s="13">
        <f t="shared" si="6"/>
        <v>45930</v>
      </c>
      <c r="AM19" s="13">
        <f t="shared" si="6"/>
        <v>45961</v>
      </c>
      <c r="AN19" s="13">
        <f t="shared" si="6"/>
        <v>45991</v>
      </c>
      <c r="AO19" s="13">
        <f t="shared" si="6"/>
        <v>46022</v>
      </c>
      <c r="AP19" s="13">
        <f t="shared" si="6"/>
        <v>46053</v>
      </c>
      <c r="AQ19" s="13">
        <f t="shared" si="6"/>
        <v>46081</v>
      </c>
      <c r="AR19" s="13">
        <f t="shared" si="6"/>
        <v>46112</v>
      </c>
      <c r="AS19" s="13">
        <f t="shared" si="6"/>
        <v>46142</v>
      </c>
      <c r="AT19" s="13">
        <f t="shared" si="6"/>
        <v>46173</v>
      </c>
      <c r="AU19" s="13">
        <f t="shared" si="6"/>
        <v>46203</v>
      </c>
      <c r="AV19" s="13">
        <f t="shared" si="6"/>
        <v>46234</v>
      </c>
      <c r="AW19" s="13">
        <f t="shared" si="6"/>
        <v>46265</v>
      </c>
      <c r="AX19" s="13">
        <f t="shared" si="6"/>
        <v>46295</v>
      </c>
      <c r="AY19" s="13">
        <f t="shared" si="6"/>
        <v>46326</v>
      </c>
      <c r="AZ19" s="13">
        <f t="shared" si="6"/>
        <v>46356</v>
      </c>
      <c r="BA19" s="13">
        <f t="shared" si="6"/>
        <v>46387</v>
      </c>
      <c r="BB19" s="13">
        <f t="shared" si="6"/>
        <v>46418</v>
      </c>
      <c r="BC19" s="13">
        <f t="shared" si="6"/>
        <v>46446</v>
      </c>
      <c r="BD19" s="13">
        <f t="shared" si="6"/>
        <v>46477</v>
      </c>
      <c r="BE19" s="13">
        <f t="shared" si="6"/>
        <v>46507</v>
      </c>
      <c r="BF19" s="13">
        <f t="shared" si="6"/>
        <v>46538</v>
      </c>
      <c r="BG19" s="13">
        <f t="shared" si="6"/>
        <v>46568</v>
      </c>
      <c r="BH19" s="13">
        <f t="shared" si="6"/>
        <v>46599</v>
      </c>
      <c r="BI19" s="13">
        <f t="shared" si="6"/>
        <v>46630</v>
      </c>
      <c r="BJ19" s="13">
        <f t="shared" si="6"/>
        <v>46660</v>
      </c>
      <c r="BK19" s="13">
        <f t="shared" si="6"/>
        <v>46691</v>
      </c>
      <c r="BL19" s="13">
        <f t="shared" si="6"/>
        <v>46721</v>
      </c>
      <c r="BM19" s="13">
        <f t="shared" si="6"/>
        <v>46752</v>
      </c>
      <c r="BN19" s="13">
        <f t="shared" si="6"/>
        <v>46783</v>
      </c>
      <c r="BO19" s="13">
        <f t="shared" si="6"/>
        <v>46812</v>
      </c>
      <c r="BP19" s="13">
        <f t="shared" si="6"/>
        <v>46843</v>
      </c>
      <c r="BQ19" s="13">
        <f t="shared" si="6"/>
        <v>46873</v>
      </c>
    </row>
    <row r="20" spans="1:69" outlineLevel="1"/>
    <row r="21" spans="1:69" outlineLevel="1"/>
    <row r="22" spans="1:69" outlineLevel="1">
      <c r="B22" s="25" t="s">
        <v>207</v>
      </c>
    </row>
    <row r="23" spans="1:69" outlineLevel="2">
      <c r="E23" s="5" t="str">
        <f t="shared" ref="E23:BQ23" si="7" xml:space="preserve">  E$28</f>
        <v>Period number</v>
      </c>
      <c r="F23" s="5">
        <f t="shared" si="7"/>
        <v>0</v>
      </c>
      <c r="G23" s="5" t="str">
        <f t="shared" si="7"/>
        <v>Counter</v>
      </c>
      <c r="H23" s="5">
        <f t="shared" si="7"/>
        <v>0</v>
      </c>
      <c r="I23" s="5">
        <f t="shared" si="7"/>
        <v>0</v>
      </c>
      <c r="J23" s="5">
        <f t="shared" si="7"/>
        <v>1</v>
      </c>
      <c r="K23" s="5">
        <f t="shared" si="7"/>
        <v>2</v>
      </c>
      <c r="L23" s="5">
        <f t="shared" si="7"/>
        <v>3</v>
      </c>
      <c r="M23" s="5">
        <f t="shared" si="7"/>
        <v>4</v>
      </c>
      <c r="N23" s="5">
        <f t="shared" si="7"/>
        <v>5</v>
      </c>
      <c r="O23" s="5">
        <f t="shared" si="7"/>
        <v>6</v>
      </c>
      <c r="P23" s="5">
        <f t="shared" si="7"/>
        <v>7</v>
      </c>
      <c r="Q23" s="5">
        <f t="shared" si="7"/>
        <v>8</v>
      </c>
      <c r="R23" s="5">
        <f t="shared" si="7"/>
        <v>9</v>
      </c>
      <c r="S23" s="5">
        <f t="shared" si="7"/>
        <v>10</v>
      </c>
      <c r="T23" s="5">
        <f t="shared" si="7"/>
        <v>11</v>
      </c>
      <c r="U23" s="5">
        <f t="shared" si="7"/>
        <v>12</v>
      </c>
      <c r="V23" s="5">
        <f t="shared" si="7"/>
        <v>13</v>
      </c>
      <c r="W23" s="5">
        <f t="shared" si="7"/>
        <v>14</v>
      </c>
      <c r="X23" s="5">
        <f t="shared" si="7"/>
        <v>15</v>
      </c>
      <c r="Y23" s="5">
        <f t="shared" si="7"/>
        <v>16</v>
      </c>
      <c r="Z23" s="5">
        <f t="shared" si="7"/>
        <v>17</v>
      </c>
      <c r="AA23" s="5">
        <f t="shared" si="7"/>
        <v>18</v>
      </c>
      <c r="AB23" s="5">
        <f t="shared" si="7"/>
        <v>19</v>
      </c>
      <c r="AC23" s="5">
        <f t="shared" si="7"/>
        <v>20</v>
      </c>
      <c r="AD23" s="5">
        <f t="shared" si="7"/>
        <v>21</v>
      </c>
      <c r="AE23" s="5">
        <f t="shared" si="7"/>
        <v>22</v>
      </c>
      <c r="AF23" s="5">
        <f t="shared" si="7"/>
        <v>23</v>
      </c>
      <c r="AG23" s="5">
        <f t="shared" si="7"/>
        <v>24</v>
      </c>
      <c r="AH23" s="5">
        <f t="shared" si="7"/>
        <v>25</v>
      </c>
      <c r="AI23" s="5">
        <f t="shared" si="7"/>
        <v>26</v>
      </c>
      <c r="AJ23" s="5">
        <f t="shared" si="7"/>
        <v>27</v>
      </c>
      <c r="AK23" s="5">
        <f t="shared" si="7"/>
        <v>28</v>
      </c>
      <c r="AL23" s="5">
        <f t="shared" si="7"/>
        <v>29</v>
      </c>
      <c r="AM23" s="5">
        <f t="shared" si="7"/>
        <v>30</v>
      </c>
      <c r="AN23" s="5">
        <f t="shared" si="7"/>
        <v>31</v>
      </c>
      <c r="AO23" s="5">
        <f t="shared" si="7"/>
        <v>32</v>
      </c>
      <c r="AP23" s="5">
        <f t="shared" si="7"/>
        <v>33</v>
      </c>
      <c r="AQ23" s="5">
        <f t="shared" si="7"/>
        <v>34</v>
      </c>
      <c r="AR23" s="5">
        <f t="shared" si="7"/>
        <v>35</v>
      </c>
      <c r="AS23" s="5">
        <f t="shared" si="7"/>
        <v>36</v>
      </c>
      <c r="AT23" s="5">
        <f t="shared" si="7"/>
        <v>37</v>
      </c>
      <c r="AU23" s="5">
        <f t="shared" si="7"/>
        <v>38</v>
      </c>
      <c r="AV23" s="5">
        <f t="shared" si="7"/>
        <v>39</v>
      </c>
      <c r="AW23" s="5">
        <f t="shared" si="7"/>
        <v>40</v>
      </c>
      <c r="AX23" s="5">
        <f t="shared" si="7"/>
        <v>41</v>
      </c>
      <c r="AY23" s="5">
        <f t="shared" si="7"/>
        <v>42</v>
      </c>
      <c r="AZ23" s="5">
        <f t="shared" si="7"/>
        <v>43</v>
      </c>
      <c r="BA23" s="5">
        <f t="shared" si="7"/>
        <v>44</v>
      </c>
      <c r="BB23" s="5">
        <f t="shared" si="7"/>
        <v>45</v>
      </c>
      <c r="BC23" s="5">
        <f t="shared" si="7"/>
        <v>46</v>
      </c>
      <c r="BD23" s="5">
        <f t="shared" si="7"/>
        <v>47</v>
      </c>
      <c r="BE23" s="5">
        <f t="shared" si="7"/>
        <v>48</v>
      </c>
      <c r="BF23" s="5">
        <f t="shared" si="7"/>
        <v>49</v>
      </c>
      <c r="BG23" s="5">
        <f t="shared" si="7"/>
        <v>50</v>
      </c>
      <c r="BH23" s="5">
        <f t="shared" si="7"/>
        <v>51</v>
      </c>
      <c r="BI23" s="5">
        <f t="shared" si="7"/>
        <v>52</v>
      </c>
      <c r="BJ23" s="5">
        <f t="shared" si="7"/>
        <v>53</v>
      </c>
      <c r="BK23" s="5">
        <f t="shared" si="7"/>
        <v>54</v>
      </c>
      <c r="BL23" s="5">
        <f t="shared" si="7"/>
        <v>55</v>
      </c>
      <c r="BM23" s="5">
        <f t="shared" si="7"/>
        <v>56</v>
      </c>
      <c r="BN23" s="5">
        <f t="shared" si="7"/>
        <v>57</v>
      </c>
      <c r="BO23" s="5">
        <f t="shared" si="7"/>
        <v>58</v>
      </c>
      <c r="BP23" s="5">
        <f t="shared" si="7"/>
        <v>59</v>
      </c>
      <c r="BQ23" s="5">
        <f t="shared" si="7"/>
        <v>60</v>
      </c>
    </row>
    <row r="24" spans="1:69" outlineLevel="2">
      <c r="A24" s="34"/>
      <c r="B24" s="34"/>
      <c r="C24" s="64"/>
      <c r="D24" s="65"/>
      <c r="E24" s="21" t="s">
        <v>207</v>
      </c>
      <c r="F24" s="21"/>
      <c r="G24" s="21" t="s">
        <v>257</v>
      </c>
      <c r="H24" s="3">
        <f xml:space="preserve"> SUM( J24:BQ24 )</f>
        <v>0</v>
      </c>
      <c r="I24" s="21"/>
      <c r="J24" s="3" t="str">
        <f t="shared" ref="J24:BQ24" si="8" xml:space="preserve">  "Month" &amp; J23</f>
        <v>Month1</v>
      </c>
      <c r="K24" s="3" t="str">
        <f t="shared" si="8"/>
        <v>Month2</v>
      </c>
      <c r="L24" s="3" t="str">
        <f t="shared" si="8"/>
        <v>Month3</v>
      </c>
      <c r="M24" s="3" t="str">
        <f t="shared" si="8"/>
        <v>Month4</v>
      </c>
      <c r="N24" s="3" t="str">
        <f t="shared" si="8"/>
        <v>Month5</v>
      </c>
      <c r="O24" s="3" t="str">
        <f t="shared" si="8"/>
        <v>Month6</v>
      </c>
      <c r="P24" s="3" t="str">
        <f t="shared" si="8"/>
        <v>Month7</v>
      </c>
      <c r="Q24" s="3" t="str">
        <f t="shared" si="8"/>
        <v>Month8</v>
      </c>
      <c r="R24" s="3" t="str">
        <f t="shared" si="8"/>
        <v>Month9</v>
      </c>
      <c r="S24" s="3" t="str">
        <f t="shared" si="8"/>
        <v>Month10</v>
      </c>
      <c r="T24" s="3" t="str">
        <f t="shared" si="8"/>
        <v>Month11</v>
      </c>
      <c r="U24" s="3" t="str">
        <f t="shared" si="8"/>
        <v>Month12</v>
      </c>
      <c r="V24" s="3" t="str">
        <f t="shared" si="8"/>
        <v>Month13</v>
      </c>
      <c r="W24" s="3" t="str">
        <f t="shared" si="8"/>
        <v>Month14</v>
      </c>
      <c r="X24" s="3" t="str">
        <f t="shared" si="8"/>
        <v>Month15</v>
      </c>
      <c r="Y24" s="3" t="str">
        <f t="shared" si="8"/>
        <v>Month16</v>
      </c>
      <c r="Z24" s="3" t="str">
        <f t="shared" si="8"/>
        <v>Month17</v>
      </c>
      <c r="AA24" s="3" t="str">
        <f t="shared" si="8"/>
        <v>Month18</v>
      </c>
      <c r="AB24" s="3" t="str">
        <f t="shared" si="8"/>
        <v>Month19</v>
      </c>
      <c r="AC24" s="3" t="str">
        <f t="shared" si="8"/>
        <v>Month20</v>
      </c>
      <c r="AD24" s="3" t="str">
        <f t="shared" si="8"/>
        <v>Month21</v>
      </c>
      <c r="AE24" s="3" t="str">
        <f t="shared" si="8"/>
        <v>Month22</v>
      </c>
      <c r="AF24" s="3" t="str">
        <f t="shared" si="8"/>
        <v>Month23</v>
      </c>
      <c r="AG24" s="3" t="str">
        <f t="shared" si="8"/>
        <v>Month24</v>
      </c>
      <c r="AH24" s="3" t="str">
        <f t="shared" si="8"/>
        <v>Month25</v>
      </c>
      <c r="AI24" s="3" t="str">
        <f t="shared" si="8"/>
        <v>Month26</v>
      </c>
      <c r="AJ24" s="3" t="str">
        <f t="shared" si="8"/>
        <v>Month27</v>
      </c>
      <c r="AK24" s="3" t="str">
        <f t="shared" si="8"/>
        <v>Month28</v>
      </c>
      <c r="AL24" s="3" t="str">
        <f t="shared" si="8"/>
        <v>Month29</v>
      </c>
      <c r="AM24" s="3" t="str">
        <f t="shared" si="8"/>
        <v>Month30</v>
      </c>
      <c r="AN24" s="3" t="str">
        <f t="shared" si="8"/>
        <v>Month31</v>
      </c>
      <c r="AO24" s="3" t="str">
        <f t="shared" si="8"/>
        <v>Month32</v>
      </c>
      <c r="AP24" s="3" t="str">
        <f t="shared" si="8"/>
        <v>Month33</v>
      </c>
      <c r="AQ24" s="3" t="str">
        <f t="shared" si="8"/>
        <v>Month34</v>
      </c>
      <c r="AR24" s="3" t="str">
        <f t="shared" si="8"/>
        <v>Month35</v>
      </c>
      <c r="AS24" s="3" t="str">
        <f t="shared" si="8"/>
        <v>Month36</v>
      </c>
      <c r="AT24" s="3" t="str">
        <f t="shared" si="8"/>
        <v>Month37</v>
      </c>
      <c r="AU24" s="3" t="str">
        <f t="shared" si="8"/>
        <v>Month38</v>
      </c>
      <c r="AV24" s="3" t="str">
        <f t="shared" si="8"/>
        <v>Month39</v>
      </c>
      <c r="AW24" s="3" t="str">
        <f t="shared" si="8"/>
        <v>Month40</v>
      </c>
      <c r="AX24" s="3" t="str">
        <f t="shared" si="8"/>
        <v>Month41</v>
      </c>
      <c r="AY24" s="3" t="str">
        <f t="shared" si="8"/>
        <v>Month42</v>
      </c>
      <c r="AZ24" s="3" t="str">
        <f t="shared" si="8"/>
        <v>Month43</v>
      </c>
      <c r="BA24" s="3" t="str">
        <f t="shared" si="8"/>
        <v>Month44</v>
      </c>
      <c r="BB24" s="3" t="str">
        <f t="shared" si="8"/>
        <v>Month45</v>
      </c>
      <c r="BC24" s="3" t="str">
        <f t="shared" si="8"/>
        <v>Month46</v>
      </c>
      <c r="BD24" s="3" t="str">
        <f t="shared" si="8"/>
        <v>Month47</v>
      </c>
      <c r="BE24" s="3" t="str">
        <f t="shared" si="8"/>
        <v>Month48</v>
      </c>
      <c r="BF24" s="3" t="str">
        <f t="shared" si="8"/>
        <v>Month49</v>
      </c>
      <c r="BG24" s="3" t="str">
        <f t="shared" si="8"/>
        <v>Month50</v>
      </c>
      <c r="BH24" s="3" t="str">
        <f t="shared" si="8"/>
        <v>Month51</v>
      </c>
      <c r="BI24" s="3" t="str">
        <f t="shared" si="8"/>
        <v>Month52</v>
      </c>
      <c r="BJ24" s="3" t="str">
        <f t="shared" si="8"/>
        <v>Month53</v>
      </c>
      <c r="BK24" s="3" t="str">
        <f t="shared" si="8"/>
        <v>Month54</v>
      </c>
      <c r="BL24" s="3" t="str">
        <f t="shared" si="8"/>
        <v>Month55</v>
      </c>
      <c r="BM24" s="3" t="str">
        <f t="shared" si="8"/>
        <v>Month56</v>
      </c>
      <c r="BN24" s="3" t="str">
        <f t="shared" si="8"/>
        <v>Month57</v>
      </c>
      <c r="BO24" s="3" t="str">
        <f t="shared" si="8"/>
        <v>Month58</v>
      </c>
      <c r="BP24" s="3" t="str">
        <f t="shared" si="8"/>
        <v>Month59</v>
      </c>
      <c r="BQ24" s="3" t="str">
        <f t="shared" si="8"/>
        <v>Month60</v>
      </c>
    </row>
    <row r="25" spans="1:69" outlineLevel="1"/>
    <row r="26" spans="1:69" outlineLevel="1"/>
    <row r="27" spans="1:69" outlineLevel="1">
      <c r="B27" s="25" t="s">
        <v>311</v>
      </c>
    </row>
    <row r="28" spans="1:69" outlineLevel="1">
      <c r="A28" s="34"/>
      <c r="B28" s="34"/>
      <c r="C28" s="64"/>
      <c r="D28" s="65"/>
      <c r="E28" s="21" t="s">
        <v>311</v>
      </c>
      <c r="F28" s="21"/>
      <c r="G28" s="21" t="s">
        <v>285</v>
      </c>
      <c r="H28" s="21"/>
      <c r="I28" s="21"/>
      <c r="J28" s="14">
        <f t="shared" ref="J28:BQ28" si="9" xml:space="preserve">  I28 + 1</f>
        <v>1</v>
      </c>
      <c r="K28" s="14">
        <f t="shared" si="9"/>
        <v>2</v>
      </c>
      <c r="L28" s="14">
        <f t="shared" si="9"/>
        <v>3</v>
      </c>
      <c r="M28" s="14">
        <f t="shared" si="9"/>
        <v>4</v>
      </c>
      <c r="N28" s="14">
        <f t="shared" si="9"/>
        <v>5</v>
      </c>
      <c r="O28" s="14">
        <f t="shared" si="9"/>
        <v>6</v>
      </c>
      <c r="P28" s="14">
        <f t="shared" si="9"/>
        <v>7</v>
      </c>
      <c r="Q28" s="14">
        <f t="shared" si="9"/>
        <v>8</v>
      </c>
      <c r="R28" s="14">
        <f t="shared" si="9"/>
        <v>9</v>
      </c>
      <c r="S28" s="14">
        <f t="shared" si="9"/>
        <v>10</v>
      </c>
      <c r="T28" s="14">
        <f t="shared" si="9"/>
        <v>11</v>
      </c>
      <c r="U28" s="14">
        <f t="shared" si="9"/>
        <v>12</v>
      </c>
      <c r="V28" s="14">
        <f t="shared" si="9"/>
        <v>13</v>
      </c>
      <c r="W28" s="14">
        <f t="shared" si="9"/>
        <v>14</v>
      </c>
      <c r="X28" s="14">
        <f t="shared" si="9"/>
        <v>15</v>
      </c>
      <c r="Y28" s="14">
        <f t="shared" si="9"/>
        <v>16</v>
      </c>
      <c r="Z28" s="14">
        <f t="shared" si="9"/>
        <v>17</v>
      </c>
      <c r="AA28" s="14">
        <f t="shared" si="9"/>
        <v>18</v>
      </c>
      <c r="AB28" s="14">
        <f t="shared" si="9"/>
        <v>19</v>
      </c>
      <c r="AC28" s="14">
        <f t="shared" si="9"/>
        <v>20</v>
      </c>
      <c r="AD28" s="14">
        <f t="shared" si="9"/>
        <v>21</v>
      </c>
      <c r="AE28" s="14">
        <f t="shared" si="9"/>
        <v>22</v>
      </c>
      <c r="AF28" s="14">
        <f t="shared" si="9"/>
        <v>23</v>
      </c>
      <c r="AG28" s="14">
        <f t="shared" si="9"/>
        <v>24</v>
      </c>
      <c r="AH28" s="14">
        <f t="shared" si="9"/>
        <v>25</v>
      </c>
      <c r="AI28" s="14">
        <f t="shared" si="9"/>
        <v>26</v>
      </c>
      <c r="AJ28" s="14">
        <f t="shared" si="9"/>
        <v>27</v>
      </c>
      <c r="AK28" s="14">
        <f t="shared" si="9"/>
        <v>28</v>
      </c>
      <c r="AL28" s="14">
        <f t="shared" si="9"/>
        <v>29</v>
      </c>
      <c r="AM28" s="14">
        <f t="shared" si="9"/>
        <v>30</v>
      </c>
      <c r="AN28" s="14">
        <f t="shared" si="9"/>
        <v>31</v>
      </c>
      <c r="AO28" s="14">
        <f t="shared" si="9"/>
        <v>32</v>
      </c>
      <c r="AP28" s="14">
        <f t="shared" si="9"/>
        <v>33</v>
      </c>
      <c r="AQ28" s="14">
        <f t="shared" si="9"/>
        <v>34</v>
      </c>
      <c r="AR28" s="14">
        <f t="shared" si="9"/>
        <v>35</v>
      </c>
      <c r="AS28" s="14">
        <f t="shared" si="9"/>
        <v>36</v>
      </c>
      <c r="AT28" s="14">
        <f t="shared" si="9"/>
        <v>37</v>
      </c>
      <c r="AU28" s="14">
        <f t="shared" si="9"/>
        <v>38</v>
      </c>
      <c r="AV28" s="14">
        <f t="shared" si="9"/>
        <v>39</v>
      </c>
      <c r="AW28" s="14">
        <f t="shared" si="9"/>
        <v>40</v>
      </c>
      <c r="AX28" s="14">
        <f t="shared" si="9"/>
        <v>41</v>
      </c>
      <c r="AY28" s="14">
        <f t="shared" si="9"/>
        <v>42</v>
      </c>
      <c r="AZ28" s="14">
        <f t="shared" si="9"/>
        <v>43</v>
      </c>
      <c r="BA28" s="14">
        <f t="shared" si="9"/>
        <v>44</v>
      </c>
      <c r="BB28" s="14">
        <f t="shared" si="9"/>
        <v>45</v>
      </c>
      <c r="BC28" s="14">
        <f t="shared" si="9"/>
        <v>46</v>
      </c>
      <c r="BD28" s="14">
        <f t="shared" si="9"/>
        <v>47</v>
      </c>
      <c r="BE28" s="14">
        <f t="shared" si="9"/>
        <v>48</v>
      </c>
      <c r="BF28" s="14">
        <f t="shared" si="9"/>
        <v>49</v>
      </c>
      <c r="BG28" s="14">
        <f t="shared" si="9"/>
        <v>50</v>
      </c>
      <c r="BH28" s="14">
        <f t="shared" si="9"/>
        <v>51</v>
      </c>
      <c r="BI28" s="14">
        <f t="shared" si="9"/>
        <v>52</v>
      </c>
      <c r="BJ28" s="14">
        <f t="shared" si="9"/>
        <v>53</v>
      </c>
      <c r="BK28" s="14">
        <f t="shared" si="9"/>
        <v>54</v>
      </c>
      <c r="BL28" s="14">
        <f t="shared" si="9"/>
        <v>55</v>
      </c>
      <c r="BM28" s="14">
        <f t="shared" si="9"/>
        <v>56</v>
      </c>
      <c r="BN28" s="14">
        <f t="shared" si="9"/>
        <v>57</v>
      </c>
      <c r="BO28" s="14">
        <f t="shared" si="9"/>
        <v>58</v>
      </c>
      <c r="BP28" s="14">
        <f t="shared" si="9"/>
        <v>59</v>
      </c>
      <c r="BQ28" s="14">
        <f t="shared" si="9"/>
        <v>60</v>
      </c>
    </row>
    <row r="29" spans="1:69" outlineLevel="1"/>
    <row r="30" spans="1:69" outlineLevel="1"/>
    <row r="31" spans="1:69" outlineLevel="1">
      <c r="B31" s="25" t="s">
        <v>32</v>
      </c>
    </row>
    <row r="32" spans="1:69" outlineLevel="2">
      <c r="E32" s="8" t="str">
        <f t="shared" ref="E32:BQ32" si="10" xml:space="preserve">  E$19</f>
        <v>Model period end</v>
      </c>
      <c r="F32" s="8">
        <f t="shared" si="10"/>
        <v>0</v>
      </c>
      <c r="G32" s="8" t="str">
        <f t="shared" si="10"/>
        <v>date</v>
      </c>
      <c r="H32" s="8">
        <f t="shared" si="10"/>
        <v>0</v>
      </c>
      <c r="I32" s="8">
        <f t="shared" si="10"/>
        <v>0</v>
      </c>
      <c r="J32" s="8">
        <f t="shared" si="10"/>
        <v>45077</v>
      </c>
      <c r="K32" s="8">
        <f t="shared" si="10"/>
        <v>45107</v>
      </c>
      <c r="L32" s="8">
        <f t="shared" si="10"/>
        <v>45138</v>
      </c>
      <c r="M32" s="8">
        <f t="shared" si="10"/>
        <v>45169</v>
      </c>
      <c r="N32" s="8">
        <f t="shared" si="10"/>
        <v>45199</v>
      </c>
      <c r="O32" s="8">
        <f t="shared" si="10"/>
        <v>45230</v>
      </c>
      <c r="P32" s="8">
        <f t="shared" si="10"/>
        <v>45260</v>
      </c>
      <c r="Q32" s="8">
        <f t="shared" si="10"/>
        <v>45291</v>
      </c>
      <c r="R32" s="8">
        <f t="shared" si="10"/>
        <v>45322</v>
      </c>
      <c r="S32" s="8">
        <f t="shared" si="10"/>
        <v>45351</v>
      </c>
      <c r="T32" s="8">
        <f t="shared" si="10"/>
        <v>45382</v>
      </c>
      <c r="U32" s="8">
        <f t="shared" si="10"/>
        <v>45412</v>
      </c>
      <c r="V32" s="8">
        <f t="shared" si="10"/>
        <v>45443</v>
      </c>
      <c r="W32" s="8">
        <f t="shared" si="10"/>
        <v>45473</v>
      </c>
      <c r="X32" s="8">
        <f t="shared" si="10"/>
        <v>45504</v>
      </c>
      <c r="Y32" s="8">
        <f t="shared" si="10"/>
        <v>45535</v>
      </c>
      <c r="Z32" s="8">
        <f t="shared" si="10"/>
        <v>45565</v>
      </c>
      <c r="AA32" s="8">
        <f t="shared" si="10"/>
        <v>45596</v>
      </c>
      <c r="AB32" s="8">
        <f t="shared" si="10"/>
        <v>45626</v>
      </c>
      <c r="AC32" s="8">
        <f t="shared" si="10"/>
        <v>45657</v>
      </c>
      <c r="AD32" s="8">
        <f t="shared" si="10"/>
        <v>45688</v>
      </c>
      <c r="AE32" s="8">
        <f t="shared" si="10"/>
        <v>45716</v>
      </c>
      <c r="AF32" s="8">
        <f t="shared" si="10"/>
        <v>45747</v>
      </c>
      <c r="AG32" s="8">
        <f t="shared" si="10"/>
        <v>45777</v>
      </c>
      <c r="AH32" s="8">
        <f t="shared" si="10"/>
        <v>45808</v>
      </c>
      <c r="AI32" s="8">
        <f t="shared" si="10"/>
        <v>45838</v>
      </c>
      <c r="AJ32" s="8">
        <f t="shared" si="10"/>
        <v>45869</v>
      </c>
      <c r="AK32" s="8">
        <f t="shared" si="10"/>
        <v>45900</v>
      </c>
      <c r="AL32" s="8">
        <f t="shared" si="10"/>
        <v>45930</v>
      </c>
      <c r="AM32" s="8">
        <f t="shared" si="10"/>
        <v>45961</v>
      </c>
      <c r="AN32" s="8">
        <f t="shared" si="10"/>
        <v>45991</v>
      </c>
      <c r="AO32" s="8">
        <f t="shared" si="10"/>
        <v>46022</v>
      </c>
      <c r="AP32" s="8">
        <f t="shared" si="10"/>
        <v>46053</v>
      </c>
      <c r="AQ32" s="8">
        <f t="shared" si="10"/>
        <v>46081</v>
      </c>
      <c r="AR32" s="8">
        <f t="shared" si="10"/>
        <v>46112</v>
      </c>
      <c r="AS32" s="8">
        <f t="shared" si="10"/>
        <v>46142</v>
      </c>
      <c r="AT32" s="8">
        <f t="shared" si="10"/>
        <v>46173</v>
      </c>
      <c r="AU32" s="8">
        <f t="shared" si="10"/>
        <v>46203</v>
      </c>
      <c r="AV32" s="8">
        <f t="shared" si="10"/>
        <v>46234</v>
      </c>
      <c r="AW32" s="8">
        <f t="shared" si="10"/>
        <v>46265</v>
      </c>
      <c r="AX32" s="8">
        <f t="shared" si="10"/>
        <v>46295</v>
      </c>
      <c r="AY32" s="8">
        <f t="shared" si="10"/>
        <v>46326</v>
      </c>
      <c r="AZ32" s="8">
        <f t="shared" si="10"/>
        <v>46356</v>
      </c>
      <c r="BA32" s="8">
        <f t="shared" si="10"/>
        <v>46387</v>
      </c>
      <c r="BB32" s="8">
        <f t="shared" si="10"/>
        <v>46418</v>
      </c>
      <c r="BC32" s="8">
        <f t="shared" si="10"/>
        <v>46446</v>
      </c>
      <c r="BD32" s="8">
        <f t="shared" si="10"/>
        <v>46477</v>
      </c>
      <c r="BE32" s="8">
        <f t="shared" si="10"/>
        <v>46507</v>
      </c>
      <c r="BF32" s="8">
        <f t="shared" si="10"/>
        <v>46538</v>
      </c>
      <c r="BG32" s="8">
        <f t="shared" si="10"/>
        <v>46568</v>
      </c>
      <c r="BH32" s="8">
        <f t="shared" si="10"/>
        <v>46599</v>
      </c>
      <c r="BI32" s="8">
        <f t="shared" si="10"/>
        <v>46630</v>
      </c>
      <c r="BJ32" s="8">
        <f t="shared" si="10"/>
        <v>46660</v>
      </c>
      <c r="BK32" s="8">
        <f t="shared" si="10"/>
        <v>46691</v>
      </c>
      <c r="BL32" s="8">
        <f t="shared" si="10"/>
        <v>46721</v>
      </c>
      <c r="BM32" s="8">
        <f t="shared" si="10"/>
        <v>46752</v>
      </c>
      <c r="BN32" s="8">
        <f t="shared" si="10"/>
        <v>46783</v>
      </c>
      <c r="BO32" s="8">
        <f t="shared" si="10"/>
        <v>46812</v>
      </c>
      <c r="BP32" s="8">
        <f t="shared" si="10"/>
        <v>46843</v>
      </c>
      <c r="BQ32" s="8">
        <f t="shared" si="10"/>
        <v>46873</v>
      </c>
    </row>
    <row r="33" spans="1:69" outlineLevel="2">
      <c r="E33" s="5" t="str">
        <f t="shared" ref="E33:BQ33" si="11" xml:space="preserve">  E$28</f>
        <v>Period number</v>
      </c>
      <c r="F33" s="5">
        <f t="shared" si="11"/>
        <v>0</v>
      </c>
      <c r="G33" s="5" t="str">
        <f t="shared" si="11"/>
        <v>Counter</v>
      </c>
      <c r="H33" s="5">
        <f t="shared" si="11"/>
        <v>0</v>
      </c>
      <c r="I33" s="5">
        <f t="shared" si="11"/>
        <v>0</v>
      </c>
      <c r="J33" s="5">
        <f t="shared" si="11"/>
        <v>1</v>
      </c>
      <c r="K33" s="5">
        <f t="shared" si="11"/>
        <v>2</v>
      </c>
      <c r="L33" s="5">
        <f t="shared" si="11"/>
        <v>3</v>
      </c>
      <c r="M33" s="5">
        <f t="shared" si="11"/>
        <v>4</v>
      </c>
      <c r="N33" s="5">
        <f t="shared" si="11"/>
        <v>5</v>
      </c>
      <c r="O33" s="5">
        <f t="shared" si="11"/>
        <v>6</v>
      </c>
      <c r="P33" s="5">
        <f t="shared" si="11"/>
        <v>7</v>
      </c>
      <c r="Q33" s="5">
        <f t="shared" si="11"/>
        <v>8</v>
      </c>
      <c r="R33" s="5">
        <f t="shared" si="11"/>
        <v>9</v>
      </c>
      <c r="S33" s="5">
        <f t="shared" si="11"/>
        <v>10</v>
      </c>
      <c r="T33" s="5">
        <f t="shared" si="11"/>
        <v>11</v>
      </c>
      <c r="U33" s="5">
        <f t="shared" si="11"/>
        <v>12</v>
      </c>
      <c r="V33" s="5">
        <f t="shared" si="11"/>
        <v>13</v>
      </c>
      <c r="W33" s="5">
        <f t="shared" si="11"/>
        <v>14</v>
      </c>
      <c r="X33" s="5">
        <f t="shared" si="11"/>
        <v>15</v>
      </c>
      <c r="Y33" s="5">
        <f t="shared" si="11"/>
        <v>16</v>
      </c>
      <c r="Z33" s="5">
        <f t="shared" si="11"/>
        <v>17</v>
      </c>
      <c r="AA33" s="5">
        <f t="shared" si="11"/>
        <v>18</v>
      </c>
      <c r="AB33" s="5">
        <f t="shared" si="11"/>
        <v>19</v>
      </c>
      <c r="AC33" s="5">
        <f t="shared" si="11"/>
        <v>20</v>
      </c>
      <c r="AD33" s="5">
        <f t="shared" si="11"/>
        <v>21</v>
      </c>
      <c r="AE33" s="5">
        <f t="shared" si="11"/>
        <v>22</v>
      </c>
      <c r="AF33" s="5">
        <f t="shared" si="11"/>
        <v>23</v>
      </c>
      <c r="AG33" s="5">
        <f t="shared" si="11"/>
        <v>24</v>
      </c>
      <c r="AH33" s="5">
        <f t="shared" si="11"/>
        <v>25</v>
      </c>
      <c r="AI33" s="5">
        <f t="shared" si="11"/>
        <v>26</v>
      </c>
      <c r="AJ33" s="5">
        <f t="shared" si="11"/>
        <v>27</v>
      </c>
      <c r="AK33" s="5">
        <f t="shared" si="11"/>
        <v>28</v>
      </c>
      <c r="AL33" s="5">
        <f t="shared" si="11"/>
        <v>29</v>
      </c>
      <c r="AM33" s="5">
        <f t="shared" si="11"/>
        <v>30</v>
      </c>
      <c r="AN33" s="5">
        <f t="shared" si="11"/>
        <v>31</v>
      </c>
      <c r="AO33" s="5">
        <f t="shared" si="11"/>
        <v>32</v>
      </c>
      <c r="AP33" s="5">
        <f t="shared" si="11"/>
        <v>33</v>
      </c>
      <c r="AQ33" s="5">
        <f t="shared" si="11"/>
        <v>34</v>
      </c>
      <c r="AR33" s="5">
        <f t="shared" si="11"/>
        <v>35</v>
      </c>
      <c r="AS33" s="5">
        <f t="shared" si="11"/>
        <v>36</v>
      </c>
      <c r="AT33" s="5">
        <f t="shared" si="11"/>
        <v>37</v>
      </c>
      <c r="AU33" s="5">
        <f t="shared" si="11"/>
        <v>38</v>
      </c>
      <c r="AV33" s="5">
        <f t="shared" si="11"/>
        <v>39</v>
      </c>
      <c r="AW33" s="5">
        <f t="shared" si="11"/>
        <v>40</v>
      </c>
      <c r="AX33" s="5">
        <f t="shared" si="11"/>
        <v>41</v>
      </c>
      <c r="AY33" s="5">
        <f t="shared" si="11"/>
        <v>42</v>
      </c>
      <c r="AZ33" s="5">
        <f t="shared" si="11"/>
        <v>43</v>
      </c>
      <c r="BA33" s="5">
        <f t="shared" si="11"/>
        <v>44</v>
      </c>
      <c r="BB33" s="5">
        <f t="shared" si="11"/>
        <v>45</v>
      </c>
      <c r="BC33" s="5">
        <f t="shared" si="11"/>
        <v>46</v>
      </c>
      <c r="BD33" s="5">
        <f t="shared" si="11"/>
        <v>47</v>
      </c>
      <c r="BE33" s="5">
        <f t="shared" si="11"/>
        <v>48</v>
      </c>
      <c r="BF33" s="5">
        <f t="shared" si="11"/>
        <v>49</v>
      </c>
      <c r="BG33" s="5">
        <f t="shared" si="11"/>
        <v>50</v>
      </c>
      <c r="BH33" s="5">
        <f t="shared" si="11"/>
        <v>51</v>
      </c>
      <c r="BI33" s="5">
        <f t="shared" si="11"/>
        <v>52</v>
      </c>
      <c r="BJ33" s="5">
        <f t="shared" si="11"/>
        <v>53</v>
      </c>
      <c r="BK33" s="5">
        <f t="shared" si="11"/>
        <v>54</v>
      </c>
      <c r="BL33" s="5">
        <f t="shared" si="11"/>
        <v>55</v>
      </c>
      <c r="BM33" s="5">
        <f t="shared" si="11"/>
        <v>56</v>
      </c>
      <c r="BN33" s="5">
        <f t="shared" si="11"/>
        <v>57</v>
      </c>
      <c r="BO33" s="5">
        <f t="shared" si="11"/>
        <v>58</v>
      </c>
      <c r="BP33" s="5">
        <f t="shared" si="11"/>
        <v>59</v>
      </c>
      <c r="BQ33" s="5">
        <f t="shared" si="11"/>
        <v>60</v>
      </c>
    </row>
    <row r="34" spans="1:69" outlineLevel="2">
      <c r="E34" s="5" t="str">
        <f t="shared" ref="E34:BQ34" si="12" xml:space="preserve">  E$302</f>
        <v>Month to Year : period end flag</v>
      </c>
      <c r="F34" s="5">
        <f t="shared" si="12"/>
        <v>0</v>
      </c>
      <c r="G34" s="5" t="str">
        <f t="shared" si="12"/>
        <v>counter</v>
      </c>
      <c r="H34" s="5">
        <f t="shared" si="12"/>
        <v>0</v>
      </c>
      <c r="I34" s="5">
        <f t="shared" si="12"/>
        <v>0</v>
      </c>
      <c r="J34" s="5">
        <f t="shared" si="12"/>
        <v>0</v>
      </c>
      <c r="K34" s="5">
        <f t="shared" si="12"/>
        <v>0</v>
      </c>
      <c r="L34" s="5">
        <f t="shared" si="12"/>
        <v>0</v>
      </c>
      <c r="M34" s="5">
        <f t="shared" si="12"/>
        <v>0</v>
      </c>
      <c r="N34" s="5">
        <f t="shared" si="12"/>
        <v>0</v>
      </c>
      <c r="O34" s="5">
        <f t="shared" si="12"/>
        <v>0</v>
      </c>
      <c r="P34" s="5">
        <f t="shared" si="12"/>
        <v>0</v>
      </c>
      <c r="Q34" s="5">
        <f t="shared" si="12"/>
        <v>0</v>
      </c>
      <c r="R34" s="5">
        <f t="shared" si="12"/>
        <v>0</v>
      </c>
      <c r="S34" s="5">
        <f t="shared" si="12"/>
        <v>0</v>
      </c>
      <c r="T34" s="5">
        <f t="shared" si="12"/>
        <v>0</v>
      </c>
      <c r="U34" s="5">
        <f t="shared" si="12"/>
        <v>1</v>
      </c>
      <c r="V34" s="5">
        <f t="shared" si="12"/>
        <v>0</v>
      </c>
      <c r="W34" s="5">
        <f t="shared" si="12"/>
        <v>0</v>
      </c>
      <c r="X34" s="5">
        <f t="shared" si="12"/>
        <v>0</v>
      </c>
      <c r="Y34" s="5">
        <f t="shared" si="12"/>
        <v>0</v>
      </c>
      <c r="Z34" s="5">
        <f t="shared" si="12"/>
        <v>0</v>
      </c>
      <c r="AA34" s="5">
        <f t="shared" si="12"/>
        <v>0</v>
      </c>
      <c r="AB34" s="5">
        <f t="shared" si="12"/>
        <v>0</v>
      </c>
      <c r="AC34" s="5">
        <f t="shared" si="12"/>
        <v>0</v>
      </c>
      <c r="AD34" s="5">
        <f t="shared" si="12"/>
        <v>0</v>
      </c>
      <c r="AE34" s="5">
        <f t="shared" si="12"/>
        <v>0</v>
      </c>
      <c r="AF34" s="5">
        <f t="shared" si="12"/>
        <v>0</v>
      </c>
      <c r="AG34" s="5">
        <f t="shared" si="12"/>
        <v>2</v>
      </c>
      <c r="AH34" s="5">
        <f t="shared" si="12"/>
        <v>0</v>
      </c>
      <c r="AI34" s="5">
        <f t="shared" si="12"/>
        <v>0</v>
      </c>
      <c r="AJ34" s="5">
        <f t="shared" si="12"/>
        <v>0</v>
      </c>
      <c r="AK34" s="5">
        <f t="shared" si="12"/>
        <v>0</v>
      </c>
      <c r="AL34" s="5">
        <f t="shared" si="12"/>
        <v>0</v>
      </c>
      <c r="AM34" s="5">
        <f t="shared" si="12"/>
        <v>0</v>
      </c>
      <c r="AN34" s="5">
        <f t="shared" si="12"/>
        <v>0</v>
      </c>
      <c r="AO34" s="5">
        <f t="shared" si="12"/>
        <v>0</v>
      </c>
      <c r="AP34" s="5">
        <f t="shared" si="12"/>
        <v>0</v>
      </c>
      <c r="AQ34" s="5">
        <f t="shared" si="12"/>
        <v>0</v>
      </c>
      <c r="AR34" s="5">
        <f t="shared" si="12"/>
        <v>0</v>
      </c>
      <c r="AS34" s="5">
        <f t="shared" si="12"/>
        <v>3</v>
      </c>
      <c r="AT34" s="5">
        <f t="shared" si="12"/>
        <v>0</v>
      </c>
      <c r="AU34" s="5">
        <f t="shared" si="12"/>
        <v>0</v>
      </c>
      <c r="AV34" s="5">
        <f t="shared" si="12"/>
        <v>0</v>
      </c>
      <c r="AW34" s="5">
        <f t="shared" si="12"/>
        <v>0</v>
      </c>
      <c r="AX34" s="5">
        <f t="shared" si="12"/>
        <v>0</v>
      </c>
      <c r="AY34" s="5">
        <f t="shared" si="12"/>
        <v>0</v>
      </c>
      <c r="AZ34" s="5">
        <f t="shared" si="12"/>
        <v>0</v>
      </c>
      <c r="BA34" s="5">
        <f t="shared" si="12"/>
        <v>0</v>
      </c>
      <c r="BB34" s="5">
        <f t="shared" si="12"/>
        <v>0</v>
      </c>
      <c r="BC34" s="5">
        <f t="shared" si="12"/>
        <v>0</v>
      </c>
      <c r="BD34" s="5">
        <f t="shared" si="12"/>
        <v>0</v>
      </c>
      <c r="BE34" s="5">
        <f t="shared" si="12"/>
        <v>4</v>
      </c>
      <c r="BF34" s="5">
        <f t="shared" si="12"/>
        <v>0</v>
      </c>
      <c r="BG34" s="5">
        <f t="shared" si="12"/>
        <v>0</v>
      </c>
      <c r="BH34" s="5">
        <f t="shared" si="12"/>
        <v>0</v>
      </c>
      <c r="BI34" s="5">
        <f t="shared" si="12"/>
        <v>0</v>
      </c>
      <c r="BJ34" s="5">
        <f t="shared" si="12"/>
        <v>0</v>
      </c>
      <c r="BK34" s="5">
        <f t="shared" si="12"/>
        <v>0</v>
      </c>
      <c r="BL34" s="5">
        <f t="shared" si="12"/>
        <v>0</v>
      </c>
      <c r="BM34" s="5">
        <f t="shared" si="12"/>
        <v>0</v>
      </c>
      <c r="BN34" s="5">
        <f t="shared" si="12"/>
        <v>0</v>
      </c>
      <c r="BO34" s="5">
        <f t="shared" si="12"/>
        <v>0</v>
      </c>
      <c r="BP34" s="5">
        <f t="shared" si="12"/>
        <v>0</v>
      </c>
      <c r="BQ34" s="5">
        <f t="shared" si="12"/>
        <v>5</v>
      </c>
    </row>
    <row r="35" spans="1:69" outlineLevel="2">
      <c r="A35" s="34"/>
      <c r="B35" s="34"/>
      <c r="C35" s="64"/>
      <c r="D35" s="65"/>
      <c r="E35" s="21" t="s">
        <v>32</v>
      </c>
      <c r="F35" s="21"/>
      <c r="G35" s="21" t="s">
        <v>214</v>
      </c>
      <c r="H35" s="21"/>
      <c r="I35" s="21"/>
      <c r="J35" s="13">
        <f t="shared" ref="J35:BQ35" si="13" xml:space="preserve">  INDEX( $J32:$BQ32, MATCH( J33, $J34:$BQ34, 0 ) )</f>
        <v>45412</v>
      </c>
      <c r="K35" s="13">
        <f t="shared" si="13"/>
        <v>45777</v>
      </c>
      <c r="L35" s="13">
        <f t="shared" si="13"/>
        <v>46142</v>
      </c>
      <c r="M35" s="13">
        <f t="shared" si="13"/>
        <v>46507</v>
      </c>
      <c r="N35" s="13">
        <f t="shared" si="13"/>
        <v>46873</v>
      </c>
      <c r="O35" s="13" t="e">
        <f t="shared" si="13"/>
        <v>#N/A</v>
      </c>
      <c r="P35" s="13" t="e">
        <f t="shared" si="13"/>
        <v>#N/A</v>
      </c>
      <c r="Q35" s="13" t="e">
        <f t="shared" si="13"/>
        <v>#N/A</v>
      </c>
      <c r="R35" s="13" t="e">
        <f t="shared" si="13"/>
        <v>#N/A</v>
      </c>
      <c r="S35" s="13" t="e">
        <f t="shared" si="13"/>
        <v>#N/A</v>
      </c>
      <c r="T35" s="13" t="e">
        <f t="shared" si="13"/>
        <v>#N/A</v>
      </c>
      <c r="U35" s="13" t="e">
        <f t="shared" si="13"/>
        <v>#N/A</v>
      </c>
      <c r="V35" s="13" t="e">
        <f t="shared" si="13"/>
        <v>#N/A</v>
      </c>
      <c r="W35" s="13" t="e">
        <f t="shared" si="13"/>
        <v>#N/A</v>
      </c>
      <c r="X35" s="13" t="e">
        <f t="shared" si="13"/>
        <v>#N/A</v>
      </c>
      <c r="Y35" s="13" t="e">
        <f t="shared" si="13"/>
        <v>#N/A</v>
      </c>
      <c r="Z35" s="13" t="e">
        <f t="shared" si="13"/>
        <v>#N/A</v>
      </c>
      <c r="AA35" s="13" t="e">
        <f t="shared" si="13"/>
        <v>#N/A</v>
      </c>
      <c r="AB35" s="13" t="e">
        <f t="shared" si="13"/>
        <v>#N/A</v>
      </c>
      <c r="AC35" s="13" t="e">
        <f t="shared" si="13"/>
        <v>#N/A</v>
      </c>
      <c r="AD35" s="13" t="e">
        <f t="shared" si="13"/>
        <v>#N/A</v>
      </c>
      <c r="AE35" s="13" t="e">
        <f t="shared" si="13"/>
        <v>#N/A</v>
      </c>
      <c r="AF35" s="13" t="e">
        <f t="shared" si="13"/>
        <v>#N/A</v>
      </c>
      <c r="AG35" s="13" t="e">
        <f t="shared" si="13"/>
        <v>#N/A</v>
      </c>
      <c r="AH35" s="13" t="e">
        <f t="shared" si="13"/>
        <v>#N/A</v>
      </c>
      <c r="AI35" s="13" t="e">
        <f t="shared" si="13"/>
        <v>#N/A</v>
      </c>
      <c r="AJ35" s="13" t="e">
        <f t="shared" si="13"/>
        <v>#N/A</v>
      </c>
      <c r="AK35" s="13" t="e">
        <f t="shared" si="13"/>
        <v>#N/A</v>
      </c>
      <c r="AL35" s="13" t="e">
        <f t="shared" si="13"/>
        <v>#N/A</v>
      </c>
      <c r="AM35" s="13" t="e">
        <f t="shared" si="13"/>
        <v>#N/A</v>
      </c>
      <c r="AN35" s="13" t="e">
        <f t="shared" si="13"/>
        <v>#N/A</v>
      </c>
      <c r="AO35" s="13" t="e">
        <f t="shared" si="13"/>
        <v>#N/A</v>
      </c>
      <c r="AP35" s="13" t="e">
        <f t="shared" si="13"/>
        <v>#N/A</v>
      </c>
      <c r="AQ35" s="13" t="e">
        <f t="shared" si="13"/>
        <v>#N/A</v>
      </c>
      <c r="AR35" s="13" t="e">
        <f t="shared" si="13"/>
        <v>#N/A</v>
      </c>
      <c r="AS35" s="13" t="e">
        <f t="shared" si="13"/>
        <v>#N/A</v>
      </c>
      <c r="AT35" s="13" t="e">
        <f t="shared" si="13"/>
        <v>#N/A</v>
      </c>
      <c r="AU35" s="13" t="e">
        <f t="shared" si="13"/>
        <v>#N/A</v>
      </c>
      <c r="AV35" s="13" t="e">
        <f t="shared" si="13"/>
        <v>#N/A</v>
      </c>
      <c r="AW35" s="13" t="e">
        <f t="shared" si="13"/>
        <v>#N/A</v>
      </c>
      <c r="AX35" s="13" t="e">
        <f t="shared" si="13"/>
        <v>#N/A</v>
      </c>
      <c r="AY35" s="13" t="e">
        <f t="shared" si="13"/>
        <v>#N/A</v>
      </c>
      <c r="AZ35" s="13" t="e">
        <f t="shared" si="13"/>
        <v>#N/A</v>
      </c>
      <c r="BA35" s="13" t="e">
        <f t="shared" si="13"/>
        <v>#N/A</v>
      </c>
      <c r="BB35" s="13" t="e">
        <f t="shared" si="13"/>
        <v>#N/A</v>
      </c>
      <c r="BC35" s="13" t="e">
        <f t="shared" si="13"/>
        <v>#N/A</v>
      </c>
      <c r="BD35" s="13" t="e">
        <f t="shared" si="13"/>
        <v>#N/A</v>
      </c>
      <c r="BE35" s="13" t="e">
        <f t="shared" si="13"/>
        <v>#N/A</v>
      </c>
      <c r="BF35" s="13" t="e">
        <f t="shared" si="13"/>
        <v>#N/A</v>
      </c>
      <c r="BG35" s="13" t="e">
        <f t="shared" si="13"/>
        <v>#N/A</v>
      </c>
      <c r="BH35" s="13" t="e">
        <f t="shared" si="13"/>
        <v>#N/A</v>
      </c>
      <c r="BI35" s="13" t="e">
        <f t="shared" si="13"/>
        <v>#N/A</v>
      </c>
      <c r="BJ35" s="13" t="e">
        <f t="shared" si="13"/>
        <v>#N/A</v>
      </c>
      <c r="BK35" s="13" t="e">
        <f t="shared" si="13"/>
        <v>#N/A</v>
      </c>
      <c r="BL35" s="13" t="e">
        <f t="shared" si="13"/>
        <v>#N/A</v>
      </c>
      <c r="BM35" s="13" t="e">
        <f t="shared" si="13"/>
        <v>#N/A</v>
      </c>
      <c r="BN35" s="13" t="e">
        <f t="shared" si="13"/>
        <v>#N/A</v>
      </c>
      <c r="BO35" s="13" t="e">
        <f t="shared" si="13"/>
        <v>#N/A</v>
      </c>
      <c r="BP35" s="13" t="e">
        <f t="shared" si="13"/>
        <v>#N/A</v>
      </c>
      <c r="BQ35" s="13" t="e">
        <f t="shared" si="13"/>
        <v>#N/A</v>
      </c>
    </row>
    <row r="36" spans="1:69" outlineLevel="1"/>
    <row r="37" spans="1:69" outlineLevel="1"/>
    <row r="38" spans="1:69" outlineLevel="1">
      <c r="B38" s="25" t="s">
        <v>8</v>
      </c>
    </row>
    <row r="39" spans="1:69" outlineLevel="2">
      <c r="E39" s="2" t="str">
        <f t="shared" ref="E39:BQ39" si="14" xml:space="preserve">  E$24</f>
        <v>Timeline label</v>
      </c>
      <c r="F39" s="2">
        <f t="shared" si="14"/>
        <v>0</v>
      </c>
      <c r="G39" s="2" t="str">
        <f t="shared" si="14"/>
        <v>GBP</v>
      </c>
      <c r="H39" s="2">
        <f t="shared" si="14"/>
        <v>0</v>
      </c>
      <c r="I39" s="2">
        <f t="shared" si="14"/>
        <v>0</v>
      </c>
      <c r="J39" s="2" t="str">
        <f t="shared" si="14"/>
        <v>Month1</v>
      </c>
      <c r="K39" s="2" t="str">
        <f t="shared" si="14"/>
        <v>Month2</v>
      </c>
      <c r="L39" s="2" t="str">
        <f t="shared" si="14"/>
        <v>Month3</v>
      </c>
      <c r="M39" s="2" t="str">
        <f t="shared" si="14"/>
        <v>Month4</v>
      </c>
      <c r="N39" s="2" t="str">
        <f t="shared" si="14"/>
        <v>Month5</v>
      </c>
      <c r="O39" s="2" t="str">
        <f t="shared" si="14"/>
        <v>Month6</v>
      </c>
      <c r="P39" s="2" t="str">
        <f t="shared" si="14"/>
        <v>Month7</v>
      </c>
      <c r="Q39" s="2" t="str">
        <f t="shared" si="14"/>
        <v>Month8</v>
      </c>
      <c r="R39" s="2" t="str">
        <f t="shared" si="14"/>
        <v>Month9</v>
      </c>
      <c r="S39" s="2" t="str">
        <f t="shared" si="14"/>
        <v>Month10</v>
      </c>
      <c r="T39" s="2" t="str">
        <f t="shared" si="14"/>
        <v>Month11</v>
      </c>
      <c r="U39" s="2" t="str">
        <f t="shared" si="14"/>
        <v>Month12</v>
      </c>
      <c r="V39" s="2" t="str">
        <f t="shared" si="14"/>
        <v>Month13</v>
      </c>
      <c r="W39" s="2" t="str">
        <f t="shared" si="14"/>
        <v>Month14</v>
      </c>
      <c r="X39" s="2" t="str">
        <f t="shared" si="14"/>
        <v>Month15</v>
      </c>
      <c r="Y39" s="2" t="str">
        <f t="shared" si="14"/>
        <v>Month16</v>
      </c>
      <c r="Z39" s="2" t="str">
        <f t="shared" si="14"/>
        <v>Month17</v>
      </c>
      <c r="AA39" s="2" t="str">
        <f t="shared" si="14"/>
        <v>Month18</v>
      </c>
      <c r="AB39" s="2" t="str">
        <f t="shared" si="14"/>
        <v>Month19</v>
      </c>
      <c r="AC39" s="2" t="str">
        <f t="shared" si="14"/>
        <v>Month20</v>
      </c>
      <c r="AD39" s="2" t="str">
        <f t="shared" si="14"/>
        <v>Month21</v>
      </c>
      <c r="AE39" s="2" t="str">
        <f t="shared" si="14"/>
        <v>Month22</v>
      </c>
      <c r="AF39" s="2" t="str">
        <f t="shared" si="14"/>
        <v>Month23</v>
      </c>
      <c r="AG39" s="2" t="str">
        <f t="shared" si="14"/>
        <v>Month24</v>
      </c>
      <c r="AH39" s="2" t="str">
        <f t="shared" si="14"/>
        <v>Month25</v>
      </c>
      <c r="AI39" s="2" t="str">
        <f t="shared" si="14"/>
        <v>Month26</v>
      </c>
      <c r="AJ39" s="2" t="str">
        <f t="shared" si="14"/>
        <v>Month27</v>
      </c>
      <c r="AK39" s="2" t="str">
        <f t="shared" si="14"/>
        <v>Month28</v>
      </c>
      <c r="AL39" s="2" t="str">
        <f t="shared" si="14"/>
        <v>Month29</v>
      </c>
      <c r="AM39" s="2" t="str">
        <f t="shared" si="14"/>
        <v>Month30</v>
      </c>
      <c r="AN39" s="2" t="str">
        <f t="shared" si="14"/>
        <v>Month31</v>
      </c>
      <c r="AO39" s="2" t="str">
        <f t="shared" si="14"/>
        <v>Month32</v>
      </c>
      <c r="AP39" s="2" t="str">
        <f t="shared" si="14"/>
        <v>Month33</v>
      </c>
      <c r="AQ39" s="2" t="str">
        <f t="shared" si="14"/>
        <v>Month34</v>
      </c>
      <c r="AR39" s="2" t="str">
        <f t="shared" si="14"/>
        <v>Month35</v>
      </c>
      <c r="AS39" s="2" t="str">
        <f t="shared" si="14"/>
        <v>Month36</v>
      </c>
      <c r="AT39" s="2" t="str">
        <f t="shared" si="14"/>
        <v>Month37</v>
      </c>
      <c r="AU39" s="2" t="str">
        <f t="shared" si="14"/>
        <v>Month38</v>
      </c>
      <c r="AV39" s="2" t="str">
        <f t="shared" si="14"/>
        <v>Month39</v>
      </c>
      <c r="AW39" s="2" t="str">
        <f t="shared" si="14"/>
        <v>Month40</v>
      </c>
      <c r="AX39" s="2" t="str">
        <f t="shared" si="14"/>
        <v>Month41</v>
      </c>
      <c r="AY39" s="2" t="str">
        <f t="shared" si="14"/>
        <v>Month42</v>
      </c>
      <c r="AZ39" s="2" t="str">
        <f t="shared" si="14"/>
        <v>Month43</v>
      </c>
      <c r="BA39" s="2" t="str">
        <f t="shared" si="14"/>
        <v>Month44</v>
      </c>
      <c r="BB39" s="2" t="str">
        <f t="shared" si="14"/>
        <v>Month45</v>
      </c>
      <c r="BC39" s="2" t="str">
        <f t="shared" si="14"/>
        <v>Month46</v>
      </c>
      <c r="BD39" s="2" t="str">
        <f t="shared" si="14"/>
        <v>Month47</v>
      </c>
      <c r="BE39" s="2" t="str">
        <f t="shared" si="14"/>
        <v>Month48</v>
      </c>
      <c r="BF39" s="2" t="str">
        <f t="shared" si="14"/>
        <v>Month49</v>
      </c>
      <c r="BG39" s="2" t="str">
        <f t="shared" si="14"/>
        <v>Month50</v>
      </c>
      <c r="BH39" s="2" t="str">
        <f t="shared" si="14"/>
        <v>Month51</v>
      </c>
      <c r="BI39" s="2" t="str">
        <f t="shared" si="14"/>
        <v>Month52</v>
      </c>
      <c r="BJ39" s="2" t="str">
        <f t="shared" si="14"/>
        <v>Month53</v>
      </c>
      <c r="BK39" s="2" t="str">
        <f t="shared" si="14"/>
        <v>Month54</v>
      </c>
      <c r="BL39" s="2" t="str">
        <f t="shared" si="14"/>
        <v>Month55</v>
      </c>
      <c r="BM39" s="2" t="str">
        <f t="shared" si="14"/>
        <v>Month56</v>
      </c>
      <c r="BN39" s="2" t="str">
        <f t="shared" si="14"/>
        <v>Month57</v>
      </c>
      <c r="BO39" s="2" t="str">
        <f t="shared" si="14"/>
        <v>Month58</v>
      </c>
      <c r="BP39" s="2" t="str">
        <f t="shared" si="14"/>
        <v>Month59</v>
      </c>
      <c r="BQ39" s="2" t="str">
        <f t="shared" si="14"/>
        <v>Month60</v>
      </c>
    </row>
    <row r="40" spans="1:69" outlineLevel="2">
      <c r="E40" s="5" t="str">
        <f t="shared" ref="E40:BQ40" si="15" xml:space="preserve">  E$28</f>
        <v>Period number</v>
      </c>
      <c r="F40" s="5">
        <f t="shared" si="15"/>
        <v>0</v>
      </c>
      <c r="G40" s="5" t="str">
        <f t="shared" si="15"/>
        <v>Counter</v>
      </c>
      <c r="H40" s="5">
        <f t="shared" si="15"/>
        <v>0</v>
      </c>
      <c r="I40" s="5">
        <f t="shared" si="15"/>
        <v>0</v>
      </c>
      <c r="J40" s="5">
        <f t="shared" si="15"/>
        <v>1</v>
      </c>
      <c r="K40" s="5">
        <f t="shared" si="15"/>
        <v>2</v>
      </c>
      <c r="L40" s="5">
        <f t="shared" si="15"/>
        <v>3</v>
      </c>
      <c r="M40" s="5">
        <f t="shared" si="15"/>
        <v>4</v>
      </c>
      <c r="N40" s="5">
        <f t="shared" si="15"/>
        <v>5</v>
      </c>
      <c r="O40" s="5">
        <f t="shared" si="15"/>
        <v>6</v>
      </c>
      <c r="P40" s="5">
        <f t="shared" si="15"/>
        <v>7</v>
      </c>
      <c r="Q40" s="5">
        <f t="shared" si="15"/>
        <v>8</v>
      </c>
      <c r="R40" s="5">
        <f t="shared" si="15"/>
        <v>9</v>
      </c>
      <c r="S40" s="5">
        <f t="shared" si="15"/>
        <v>10</v>
      </c>
      <c r="T40" s="5">
        <f t="shared" si="15"/>
        <v>11</v>
      </c>
      <c r="U40" s="5">
        <f t="shared" si="15"/>
        <v>12</v>
      </c>
      <c r="V40" s="5">
        <f t="shared" si="15"/>
        <v>13</v>
      </c>
      <c r="W40" s="5">
        <f t="shared" si="15"/>
        <v>14</v>
      </c>
      <c r="X40" s="5">
        <f t="shared" si="15"/>
        <v>15</v>
      </c>
      <c r="Y40" s="5">
        <f t="shared" si="15"/>
        <v>16</v>
      </c>
      <c r="Z40" s="5">
        <f t="shared" si="15"/>
        <v>17</v>
      </c>
      <c r="AA40" s="5">
        <f t="shared" si="15"/>
        <v>18</v>
      </c>
      <c r="AB40" s="5">
        <f t="shared" si="15"/>
        <v>19</v>
      </c>
      <c r="AC40" s="5">
        <f t="shared" si="15"/>
        <v>20</v>
      </c>
      <c r="AD40" s="5">
        <f t="shared" si="15"/>
        <v>21</v>
      </c>
      <c r="AE40" s="5">
        <f t="shared" si="15"/>
        <v>22</v>
      </c>
      <c r="AF40" s="5">
        <f t="shared" si="15"/>
        <v>23</v>
      </c>
      <c r="AG40" s="5">
        <f t="shared" si="15"/>
        <v>24</v>
      </c>
      <c r="AH40" s="5">
        <f t="shared" si="15"/>
        <v>25</v>
      </c>
      <c r="AI40" s="5">
        <f t="shared" si="15"/>
        <v>26</v>
      </c>
      <c r="AJ40" s="5">
        <f t="shared" si="15"/>
        <v>27</v>
      </c>
      <c r="AK40" s="5">
        <f t="shared" si="15"/>
        <v>28</v>
      </c>
      <c r="AL40" s="5">
        <f t="shared" si="15"/>
        <v>29</v>
      </c>
      <c r="AM40" s="5">
        <f t="shared" si="15"/>
        <v>30</v>
      </c>
      <c r="AN40" s="5">
        <f t="shared" si="15"/>
        <v>31</v>
      </c>
      <c r="AO40" s="5">
        <f t="shared" si="15"/>
        <v>32</v>
      </c>
      <c r="AP40" s="5">
        <f t="shared" si="15"/>
        <v>33</v>
      </c>
      <c r="AQ40" s="5">
        <f t="shared" si="15"/>
        <v>34</v>
      </c>
      <c r="AR40" s="5">
        <f t="shared" si="15"/>
        <v>35</v>
      </c>
      <c r="AS40" s="5">
        <f t="shared" si="15"/>
        <v>36</v>
      </c>
      <c r="AT40" s="5">
        <f t="shared" si="15"/>
        <v>37</v>
      </c>
      <c r="AU40" s="5">
        <f t="shared" si="15"/>
        <v>38</v>
      </c>
      <c r="AV40" s="5">
        <f t="shared" si="15"/>
        <v>39</v>
      </c>
      <c r="AW40" s="5">
        <f t="shared" si="15"/>
        <v>40</v>
      </c>
      <c r="AX40" s="5">
        <f t="shared" si="15"/>
        <v>41</v>
      </c>
      <c r="AY40" s="5">
        <f t="shared" si="15"/>
        <v>42</v>
      </c>
      <c r="AZ40" s="5">
        <f t="shared" si="15"/>
        <v>43</v>
      </c>
      <c r="BA40" s="5">
        <f t="shared" si="15"/>
        <v>44</v>
      </c>
      <c r="BB40" s="5">
        <f t="shared" si="15"/>
        <v>45</v>
      </c>
      <c r="BC40" s="5">
        <f t="shared" si="15"/>
        <v>46</v>
      </c>
      <c r="BD40" s="5">
        <f t="shared" si="15"/>
        <v>47</v>
      </c>
      <c r="BE40" s="5">
        <f t="shared" si="15"/>
        <v>48</v>
      </c>
      <c r="BF40" s="5">
        <f t="shared" si="15"/>
        <v>49</v>
      </c>
      <c r="BG40" s="5">
        <f t="shared" si="15"/>
        <v>50</v>
      </c>
      <c r="BH40" s="5">
        <f t="shared" si="15"/>
        <v>51</v>
      </c>
      <c r="BI40" s="5">
        <f t="shared" si="15"/>
        <v>52</v>
      </c>
      <c r="BJ40" s="5">
        <f t="shared" si="15"/>
        <v>53</v>
      </c>
      <c r="BK40" s="5">
        <f t="shared" si="15"/>
        <v>54</v>
      </c>
      <c r="BL40" s="5">
        <f t="shared" si="15"/>
        <v>55</v>
      </c>
      <c r="BM40" s="5">
        <f t="shared" si="15"/>
        <v>56</v>
      </c>
      <c r="BN40" s="5">
        <f t="shared" si="15"/>
        <v>57</v>
      </c>
      <c r="BO40" s="5">
        <f t="shared" si="15"/>
        <v>58</v>
      </c>
      <c r="BP40" s="5">
        <f t="shared" si="15"/>
        <v>59</v>
      </c>
      <c r="BQ40" s="5">
        <f t="shared" si="15"/>
        <v>60</v>
      </c>
    </row>
    <row r="41" spans="1:69" outlineLevel="2">
      <c r="E41" s="5" t="str">
        <f t="shared" ref="E41:BQ41" si="16" xml:space="preserve">  E$302</f>
        <v>Month to Year : period end flag</v>
      </c>
      <c r="F41" s="5">
        <f t="shared" si="16"/>
        <v>0</v>
      </c>
      <c r="G41" s="5" t="str">
        <f t="shared" si="16"/>
        <v>counter</v>
      </c>
      <c r="H41" s="5">
        <f t="shared" si="16"/>
        <v>0</v>
      </c>
      <c r="I41" s="5">
        <f t="shared" si="16"/>
        <v>0</v>
      </c>
      <c r="J41" s="5">
        <f t="shared" si="16"/>
        <v>0</v>
      </c>
      <c r="K41" s="5">
        <f t="shared" si="16"/>
        <v>0</v>
      </c>
      <c r="L41" s="5">
        <f t="shared" si="16"/>
        <v>0</v>
      </c>
      <c r="M41" s="5">
        <f t="shared" si="16"/>
        <v>0</v>
      </c>
      <c r="N41" s="5">
        <f t="shared" si="16"/>
        <v>0</v>
      </c>
      <c r="O41" s="5">
        <f t="shared" si="16"/>
        <v>0</v>
      </c>
      <c r="P41" s="5">
        <f t="shared" si="16"/>
        <v>0</v>
      </c>
      <c r="Q41" s="5">
        <f t="shared" si="16"/>
        <v>0</v>
      </c>
      <c r="R41" s="5">
        <f t="shared" si="16"/>
        <v>0</v>
      </c>
      <c r="S41" s="5">
        <f t="shared" si="16"/>
        <v>0</v>
      </c>
      <c r="T41" s="5">
        <f t="shared" si="16"/>
        <v>0</v>
      </c>
      <c r="U41" s="5">
        <f t="shared" si="16"/>
        <v>1</v>
      </c>
      <c r="V41" s="5">
        <f t="shared" si="16"/>
        <v>0</v>
      </c>
      <c r="W41" s="5">
        <f t="shared" si="16"/>
        <v>0</v>
      </c>
      <c r="X41" s="5">
        <f t="shared" si="16"/>
        <v>0</v>
      </c>
      <c r="Y41" s="5">
        <f t="shared" si="16"/>
        <v>0</v>
      </c>
      <c r="Z41" s="5">
        <f t="shared" si="16"/>
        <v>0</v>
      </c>
      <c r="AA41" s="5">
        <f t="shared" si="16"/>
        <v>0</v>
      </c>
      <c r="AB41" s="5">
        <f t="shared" si="16"/>
        <v>0</v>
      </c>
      <c r="AC41" s="5">
        <f t="shared" si="16"/>
        <v>0</v>
      </c>
      <c r="AD41" s="5">
        <f t="shared" si="16"/>
        <v>0</v>
      </c>
      <c r="AE41" s="5">
        <f t="shared" si="16"/>
        <v>0</v>
      </c>
      <c r="AF41" s="5">
        <f t="shared" si="16"/>
        <v>0</v>
      </c>
      <c r="AG41" s="5">
        <f t="shared" si="16"/>
        <v>2</v>
      </c>
      <c r="AH41" s="5">
        <f t="shared" si="16"/>
        <v>0</v>
      </c>
      <c r="AI41" s="5">
        <f t="shared" si="16"/>
        <v>0</v>
      </c>
      <c r="AJ41" s="5">
        <f t="shared" si="16"/>
        <v>0</v>
      </c>
      <c r="AK41" s="5">
        <f t="shared" si="16"/>
        <v>0</v>
      </c>
      <c r="AL41" s="5">
        <f t="shared" si="16"/>
        <v>0</v>
      </c>
      <c r="AM41" s="5">
        <f t="shared" si="16"/>
        <v>0</v>
      </c>
      <c r="AN41" s="5">
        <f t="shared" si="16"/>
        <v>0</v>
      </c>
      <c r="AO41" s="5">
        <f t="shared" si="16"/>
        <v>0</v>
      </c>
      <c r="AP41" s="5">
        <f t="shared" si="16"/>
        <v>0</v>
      </c>
      <c r="AQ41" s="5">
        <f t="shared" si="16"/>
        <v>0</v>
      </c>
      <c r="AR41" s="5">
        <f t="shared" si="16"/>
        <v>0</v>
      </c>
      <c r="AS41" s="5">
        <f t="shared" si="16"/>
        <v>3</v>
      </c>
      <c r="AT41" s="5">
        <f t="shared" si="16"/>
        <v>0</v>
      </c>
      <c r="AU41" s="5">
        <f t="shared" si="16"/>
        <v>0</v>
      </c>
      <c r="AV41" s="5">
        <f t="shared" si="16"/>
        <v>0</v>
      </c>
      <c r="AW41" s="5">
        <f t="shared" si="16"/>
        <v>0</v>
      </c>
      <c r="AX41" s="5">
        <f t="shared" si="16"/>
        <v>0</v>
      </c>
      <c r="AY41" s="5">
        <f t="shared" si="16"/>
        <v>0</v>
      </c>
      <c r="AZ41" s="5">
        <f t="shared" si="16"/>
        <v>0</v>
      </c>
      <c r="BA41" s="5">
        <f t="shared" si="16"/>
        <v>0</v>
      </c>
      <c r="BB41" s="5">
        <f t="shared" si="16"/>
        <v>0</v>
      </c>
      <c r="BC41" s="5">
        <f t="shared" si="16"/>
        <v>0</v>
      </c>
      <c r="BD41" s="5">
        <f t="shared" si="16"/>
        <v>0</v>
      </c>
      <c r="BE41" s="5">
        <f t="shared" si="16"/>
        <v>4</v>
      </c>
      <c r="BF41" s="5">
        <f t="shared" si="16"/>
        <v>0</v>
      </c>
      <c r="BG41" s="5">
        <f t="shared" si="16"/>
        <v>0</v>
      </c>
      <c r="BH41" s="5">
        <f t="shared" si="16"/>
        <v>0</v>
      </c>
      <c r="BI41" s="5">
        <f t="shared" si="16"/>
        <v>0</v>
      </c>
      <c r="BJ41" s="5">
        <f t="shared" si="16"/>
        <v>0</v>
      </c>
      <c r="BK41" s="5">
        <f t="shared" si="16"/>
        <v>0</v>
      </c>
      <c r="BL41" s="5">
        <f t="shared" si="16"/>
        <v>0</v>
      </c>
      <c r="BM41" s="5">
        <f t="shared" si="16"/>
        <v>0</v>
      </c>
      <c r="BN41" s="5">
        <f t="shared" si="16"/>
        <v>0</v>
      </c>
      <c r="BO41" s="5">
        <f t="shared" si="16"/>
        <v>0</v>
      </c>
      <c r="BP41" s="5">
        <f t="shared" si="16"/>
        <v>0</v>
      </c>
      <c r="BQ41" s="5">
        <f t="shared" si="16"/>
        <v>5</v>
      </c>
    </row>
    <row r="42" spans="1:69" outlineLevel="2">
      <c r="A42" s="34"/>
      <c r="B42" s="34"/>
      <c r="C42" s="64"/>
      <c r="D42" s="65"/>
      <c r="E42" s="21" t="s">
        <v>8</v>
      </c>
      <c r="F42" s="21"/>
      <c r="G42" s="21" t="s">
        <v>257</v>
      </c>
      <c r="H42" s="3" t="e">
        <f xml:space="preserve"> SUM( J42:BQ42 )</f>
        <v>#N/A</v>
      </c>
      <c r="I42" s="21"/>
      <c r="J42" s="3" t="str">
        <f t="shared" ref="J42:BQ42" si="17" xml:space="preserve">  INDEX( $J39:$BQ39, MATCH( J40, $J41:$BQ41, 0 ) )</f>
        <v>Month12</v>
      </c>
      <c r="K42" s="3" t="str">
        <f t="shared" si="17"/>
        <v>Month24</v>
      </c>
      <c r="L42" s="3" t="str">
        <f t="shared" si="17"/>
        <v>Month36</v>
      </c>
      <c r="M42" s="3" t="str">
        <f t="shared" si="17"/>
        <v>Month48</v>
      </c>
      <c r="N42" s="3" t="str">
        <f t="shared" si="17"/>
        <v>Month60</v>
      </c>
      <c r="O42" s="3" t="e">
        <f t="shared" si="17"/>
        <v>#N/A</v>
      </c>
      <c r="P42" s="3" t="e">
        <f t="shared" si="17"/>
        <v>#N/A</v>
      </c>
      <c r="Q42" s="3" t="e">
        <f t="shared" si="17"/>
        <v>#N/A</v>
      </c>
      <c r="R42" s="3" t="e">
        <f t="shared" si="17"/>
        <v>#N/A</v>
      </c>
      <c r="S42" s="3" t="e">
        <f t="shared" si="17"/>
        <v>#N/A</v>
      </c>
      <c r="T42" s="3" t="e">
        <f t="shared" si="17"/>
        <v>#N/A</v>
      </c>
      <c r="U42" s="3" t="e">
        <f t="shared" si="17"/>
        <v>#N/A</v>
      </c>
      <c r="V42" s="3" t="e">
        <f t="shared" si="17"/>
        <v>#N/A</v>
      </c>
      <c r="W42" s="3" t="e">
        <f t="shared" si="17"/>
        <v>#N/A</v>
      </c>
      <c r="X42" s="3" t="e">
        <f t="shared" si="17"/>
        <v>#N/A</v>
      </c>
      <c r="Y42" s="3" t="e">
        <f t="shared" si="17"/>
        <v>#N/A</v>
      </c>
      <c r="Z42" s="3" t="e">
        <f t="shared" si="17"/>
        <v>#N/A</v>
      </c>
      <c r="AA42" s="3" t="e">
        <f t="shared" si="17"/>
        <v>#N/A</v>
      </c>
      <c r="AB42" s="3" t="e">
        <f t="shared" si="17"/>
        <v>#N/A</v>
      </c>
      <c r="AC42" s="3" t="e">
        <f t="shared" si="17"/>
        <v>#N/A</v>
      </c>
      <c r="AD42" s="3" t="e">
        <f t="shared" si="17"/>
        <v>#N/A</v>
      </c>
      <c r="AE42" s="3" t="e">
        <f t="shared" si="17"/>
        <v>#N/A</v>
      </c>
      <c r="AF42" s="3" t="e">
        <f t="shared" si="17"/>
        <v>#N/A</v>
      </c>
      <c r="AG42" s="3" t="e">
        <f t="shared" si="17"/>
        <v>#N/A</v>
      </c>
      <c r="AH42" s="3" t="e">
        <f t="shared" si="17"/>
        <v>#N/A</v>
      </c>
      <c r="AI42" s="3" t="e">
        <f t="shared" si="17"/>
        <v>#N/A</v>
      </c>
      <c r="AJ42" s="3" t="e">
        <f t="shared" si="17"/>
        <v>#N/A</v>
      </c>
      <c r="AK42" s="3" t="e">
        <f t="shared" si="17"/>
        <v>#N/A</v>
      </c>
      <c r="AL42" s="3" t="e">
        <f t="shared" si="17"/>
        <v>#N/A</v>
      </c>
      <c r="AM42" s="3" t="e">
        <f t="shared" si="17"/>
        <v>#N/A</v>
      </c>
      <c r="AN42" s="3" t="e">
        <f t="shared" si="17"/>
        <v>#N/A</v>
      </c>
      <c r="AO42" s="3" t="e">
        <f t="shared" si="17"/>
        <v>#N/A</v>
      </c>
      <c r="AP42" s="3" t="e">
        <f t="shared" si="17"/>
        <v>#N/A</v>
      </c>
      <c r="AQ42" s="3" t="e">
        <f t="shared" si="17"/>
        <v>#N/A</v>
      </c>
      <c r="AR42" s="3" t="e">
        <f t="shared" si="17"/>
        <v>#N/A</v>
      </c>
      <c r="AS42" s="3" t="e">
        <f t="shared" si="17"/>
        <v>#N/A</v>
      </c>
      <c r="AT42" s="3" t="e">
        <f t="shared" si="17"/>
        <v>#N/A</v>
      </c>
      <c r="AU42" s="3" t="e">
        <f t="shared" si="17"/>
        <v>#N/A</v>
      </c>
      <c r="AV42" s="3" t="e">
        <f t="shared" si="17"/>
        <v>#N/A</v>
      </c>
      <c r="AW42" s="3" t="e">
        <f t="shared" si="17"/>
        <v>#N/A</v>
      </c>
      <c r="AX42" s="3" t="e">
        <f t="shared" si="17"/>
        <v>#N/A</v>
      </c>
      <c r="AY42" s="3" t="e">
        <f t="shared" si="17"/>
        <v>#N/A</v>
      </c>
      <c r="AZ42" s="3" t="e">
        <f t="shared" si="17"/>
        <v>#N/A</v>
      </c>
      <c r="BA42" s="3" t="e">
        <f t="shared" si="17"/>
        <v>#N/A</v>
      </c>
      <c r="BB42" s="3" t="e">
        <f t="shared" si="17"/>
        <v>#N/A</v>
      </c>
      <c r="BC42" s="3" t="e">
        <f t="shared" si="17"/>
        <v>#N/A</v>
      </c>
      <c r="BD42" s="3" t="e">
        <f t="shared" si="17"/>
        <v>#N/A</v>
      </c>
      <c r="BE42" s="3" t="e">
        <f t="shared" si="17"/>
        <v>#N/A</v>
      </c>
      <c r="BF42" s="3" t="e">
        <f t="shared" si="17"/>
        <v>#N/A</v>
      </c>
      <c r="BG42" s="3" t="e">
        <f t="shared" si="17"/>
        <v>#N/A</v>
      </c>
      <c r="BH42" s="3" t="e">
        <f t="shared" si="17"/>
        <v>#N/A</v>
      </c>
      <c r="BI42" s="3" t="e">
        <f t="shared" si="17"/>
        <v>#N/A</v>
      </c>
      <c r="BJ42" s="3" t="e">
        <f t="shared" si="17"/>
        <v>#N/A</v>
      </c>
      <c r="BK42" s="3" t="e">
        <f t="shared" si="17"/>
        <v>#N/A</v>
      </c>
      <c r="BL42" s="3" t="e">
        <f t="shared" si="17"/>
        <v>#N/A</v>
      </c>
      <c r="BM42" s="3" t="e">
        <f t="shared" si="17"/>
        <v>#N/A</v>
      </c>
      <c r="BN42" s="3" t="e">
        <f t="shared" si="17"/>
        <v>#N/A</v>
      </c>
      <c r="BO42" s="3" t="e">
        <f t="shared" si="17"/>
        <v>#N/A</v>
      </c>
      <c r="BP42" s="3" t="e">
        <f t="shared" si="17"/>
        <v>#N/A</v>
      </c>
      <c r="BQ42" s="3" t="e">
        <f t="shared" si="17"/>
        <v>#N/A</v>
      </c>
    </row>
    <row r="43" spans="1:69" outlineLevel="1"/>
    <row r="44" spans="1:69" outlineLevel="1"/>
    <row r="45" spans="1:69" outlineLevel="1">
      <c r="B45" s="25" t="s">
        <v>238</v>
      </c>
    </row>
    <row r="46" spans="1:69" outlineLevel="2">
      <c r="E46" s="5" t="str">
        <f t="shared" ref="E46:BQ46" si="18" xml:space="preserve">  E$28</f>
        <v>Period number</v>
      </c>
      <c r="F46" s="5">
        <f t="shared" si="18"/>
        <v>0</v>
      </c>
      <c r="G46" s="5" t="str">
        <f t="shared" si="18"/>
        <v>Counter</v>
      </c>
      <c r="H46" s="5">
        <f t="shared" si="18"/>
        <v>0</v>
      </c>
      <c r="I46" s="5">
        <f t="shared" si="18"/>
        <v>0</v>
      </c>
      <c r="J46" s="5">
        <f t="shared" si="18"/>
        <v>1</v>
      </c>
      <c r="K46" s="5">
        <f t="shared" si="18"/>
        <v>2</v>
      </c>
      <c r="L46" s="5">
        <f t="shared" si="18"/>
        <v>3</v>
      </c>
      <c r="M46" s="5">
        <f t="shared" si="18"/>
        <v>4</v>
      </c>
      <c r="N46" s="5">
        <f t="shared" si="18"/>
        <v>5</v>
      </c>
      <c r="O46" s="5">
        <f t="shared" si="18"/>
        <v>6</v>
      </c>
      <c r="P46" s="5">
        <f t="shared" si="18"/>
        <v>7</v>
      </c>
      <c r="Q46" s="5">
        <f t="shared" si="18"/>
        <v>8</v>
      </c>
      <c r="R46" s="5">
        <f t="shared" si="18"/>
        <v>9</v>
      </c>
      <c r="S46" s="5">
        <f t="shared" si="18"/>
        <v>10</v>
      </c>
      <c r="T46" s="5">
        <f t="shared" si="18"/>
        <v>11</v>
      </c>
      <c r="U46" s="5">
        <f t="shared" si="18"/>
        <v>12</v>
      </c>
      <c r="V46" s="5">
        <f t="shared" si="18"/>
        <v>13</v>
      </c>
      <c r="W46" s="5">
        <f t="shared" si="18"/>
        <v>14</v>
      </c>
      <c r="X46" s="5">
        <f t="shared" si="18"/>
        <v>15</v>
      </c>
      <c r="Y46" s="5">
        <f t="shared" si="18"/>
        <v>16</v>
      </c>
      <c r="Z46" s="5">
        <f t="shared" si="18"/>
        <v>17</v>
      </c>
      <c r="AA46" s="5">
        <f t="shared" si="18"/>
        <v>18</v>
      </c>
      <c r="AB46" s="5">
        <f t="shared" si="18"/>
        <v>19</v>
      </c>
      <c r="AC46" s="5">
        <f t="shared" si="18"/>
        <v>20</v>
      </c>
      <c r="AD46" s="5">
        <f t="shared" si="18"/>
        <v>21</v>
      </c>
      <c r="AE46" s="5">
        <f t="shared" si="18"/>
        <v>22</v>
      </c>
      <c r="AF46" s="5">
        <f t="shared" si="18"/>
        <v>23</v>
      </c>
      <c r="AG46" s="5">
        <f t="shared" si="18"/>
        <v>24</v>
      </c>
      <c r="AH46" s="5">
        <f t="shared" si="18"/>
        <v>25</v>
      </c>
      <c r="AI46" s="5">
        <f t="shared" si="18"/>
        <v>26</v>
      </c>
      <c r="AJ46" s="5">
        <f t="shared" si="18"/>
        <v>27</v>
      </c>
      <c r="AK46" s="5">
        <f t="shared" si="18"/>
        <v>28</v>
      </c>
      <c r="AL46" s="5">
        <f t="shared" si="18"/>
        <v>29</v>
      </c>
      <c r="AM46" s="5">
        <f t="shared" si="18"/>
        <v>30</v>
      </c>
      <c r="AN46" s="5">
        <f t="shared" si="18"/>
        <v>31</v>
      </c>
      <c r="AO46" s="5">
        <f t="shared" si="18"/>
        <v>32</v>
      </c>
      <c r="AP46" s="5">
        <f t="shared" si="18"/>
        <v>33</v>
      </c>
      <c r="AQ46" s="5">
        <f t="shared" si="18"/>
        <v>34</v>
      </c>
      <c r="AR46" s="5">
        <f t="shared" si="18"/>
        <v>35</v>
      </c>
      <c r="AS46" s="5">
        <f t="shared" si="18"/>
        <v>36</v>
      </c>
      <c r="AT46" s="5">
        <f t="shared" si="18"/>
        <v>37</v>
      </c>
      <c r="AU46" s="5">
        <f t="shared" si="18"/>
        <v>38</v>
      </c>
      <c r="AV46" s="5">
        <f t="shared" si="18"/>
        <v>39</v>
      </c>
      <c r="AW46" s="5">
        <f t="shared" si="18"/>
        <v>40</v>
      </c>
      <c r="AX46" s="5">
        <f t="shared" si="18"/>
        <v>41</v>
      </c>
      <c r="AY46" s="5">
        <f t="shared" si="18"/>
        <v>42</v>
      </c>
      <c r="AZ46" s="5">
        <f t="shared" si="18"/>
        <v>43</v>
      </c>
      <c r="BA46" s="5">
        <f t="shared" si="18"/>
        <v>44</v>
      </c>
      <c r="BB46" s="5">
        <f t="shared" si="18"/>
        <v>45</v>
      </c>
      <c r="BC46" s="5">
        <f t="shared" si="18"/>
        <v>46</v>
      </c>
      <c r="BD46" s="5">
        <f t="shared" si="18"/>
        <v>47</v>
      </c>
      <c r="BE46" s="5">
        <f t="shared" si="18"/>
        <v>48</v>
      </c>
      <c r="BF46" s="5">
        <f t="shared" si="18"/>
        <v>49</v>
      </c>
      <c r="BG46" s="5">
        <f t="shared" si="18"/>
        <v>50</v>
      </c>
      <c r="BH46" s="5">
        <f t="shared" si="18"/>
        <v>51</v>
      </c>
      <c r="BI46" s="5">
        <f t="shared" si="18"/>
        <v>52</v>
      </c>
      <c r="BJ46" s="5">
        <f t="shared" si="18"/>
        <v>53</v>
      </c>
      <c r="BK46" s="5">
        <f t="shared" si="18"/>
        <v>54</v>
      </c>
      <c r="BL46" s="5">
        <f t="shared" si="18"/>
        <v>55</v>
      </c>
      <c r="BM46" s="5">
        <f t="shared" si="18"/>
        <v>56</v>
      </c>
      <c r="BN46" s="5">
        <f t="shared" si="18"/>
        <v>57</v>
      </c>
      <c r="BO46" s="5">
        <f t="shared" si="18"/>
        <v>58</v>
      </c>
      <c r="BP46" s="5">
        <f t="shared" si="18"/>
        <v>59</v>
      </c>
      <c r="BQ46" s="5">
        <f t="shared" si="18"/>
        <v>60</v>
      </c>
    </row>
    <row r="47" spans="1:69" outlineLevel="2">
      <c r="E47" s="5" t="str">
        <f t="shared" ref="E47:BQ47" si="19" xml:space="preserve">  E$302</f>
        <v>Month to Year : period end flag</v>
      </c>
      <c r="F47" s="5">
        <f t="shared" si="19"/>
        <v>0</v>
      </c>
      <c r="G47" s="5" t="str">
        <f t="shared" si="19"/>
        <v>counter</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1</v>
      </c>
      <c r="V47" s="5">
        <f t="shared" si="19"/>
        <v>0</v>
      </c>
      <c r="W47" s="5">
        <f t="shared" si="19"/>
        <v>0</v>
      </c>
      <c r="X47" s="5">
        <f t="shared" si="19"/>
        <v>0</v>
      </c>
      <c r="Y47" s="5">
        <f t="shared" si="19"/>
        <v>0</v>
      </c>
      <c r="Z47" s="5">
        <f t="shared" si="19"/>
        <v>0</v>
      </c>
      <c r="AA47" s="5">
        <f t="shared" si="19"/>
        <v>0</v>
      </c>
      <c r="AB47" s="5">
        <f t="shared" si="19"/>
        <v>0</v>
      </c>
      <c r="AC47" s="5">
        <f t="shared" si="19"/>
        <v>0</v>
      </c>
      <c r="AD47" s="5">
        <f t="shared" si="19"/>
        <v>0</v>
      </c>
      <c r="AE47" s="5">
        <f t="shared" si="19"/>
        <v>0</v>
      </c>
      <c r="AF47" s="5">
        <f t="shared" si="19"/>
        <v>0</v>
      </c>
      <c r="AG47" s="5">
        <f t="shared" si="19"/>
        <v>2</v>
      </c>
      <c r="AH47" s="5">
        <f t="shared" si="19"/>
        <v>0</v>
      </c>
      <c r="AI47" s="5">
        <f t="shared" si="19"/>
        <v>0</v>
      </c>
      <c r="AJ47" s="5">
        <f t="shared" si="19"/>
        <v>0</v>
      </c>
      <c r="AK47" s="5">
        <f t="shared" si="19"/>
        <v>0</v>
      </c>
      <c r="AL47" s="5">
        <f t="shared" si="19"/>
        <v>0</v>
      </c>
      <c r="AM47" s="5">
        <f t="shared" si="19"/>
        <v>0</v>
      </c>
      <c r="AN47" s="5">
        <f t="shared" si="19"/>
        <v>0</v>
      </c>
      <c r="AO47" s="5">
        <f t="shared" si="19"/>
        <v>0</v>
      </c>
      <c r="AP47" s="5">
        <f t="shared" si="19"/>
        <v>0</v>
      </c>
      <c r="AQ47" s="5">
        <f t="shared" si="19"/>
        <v>0</v>
      </c>
      <c r="AR47" s="5">
        <f t="shared" si="19"/>
        <v>0</v>
      </c>
      <c r="AS47" s="5">
        <f t="shared" si="19"/>
        <v>3</v>
      </c>
      <c r="AT47" s="5">
        <f t="shared" si="19"/>
        <v>0</v>
      </c>
      <c r="AU47" s="5">
        <f t="shared" si="19"/>
        <v>0</v>
      </c>
      <c r="AV47" s="5">
        <f t="shared" si="19"/>
        <v>0</v>
      </c>
      <c r="AW47" s="5">
        <f t="shared" si="19"/>
        <v>0</v>
      </c>
      <c r="AX47" s="5">
        <f t="shared" si="19"/>
        <v>0</v>
      </c>
      <c r="AY47" s="5">
        <f t="shared" si="19"/>
        <v>0</v>
      </c>
      <c r="AZ47" s="5">
        <f t="shared" si="19"/>
        <v>0</v>
      </c>
      <c r="BA47" s="5">
        <f t="shared" si="19"/>
        <v>0</v>
      </c>
      <c r="BB47" s="5">
        <f t="shared" si="19"/>
        <v>0</v>
      </c>
      <c r="BC47" s="5">
        <f t="shared" si="19"/>
        <v>0</v>
      </c>
      <c r="BD47" s="5">
        <f t="shared" si="19"/>
        <v>0</v>
      </c>
      <c r="BE47" s="5">
        <f t="shared" si="19"/>
        <v>4</v>
      </c>
      <c r="BF47" s="5">
        <f t="shared" si="19"/>
        <v>0</v>
      </c>
      <c r="BG47" s="5">
        <f t="shared" si="19"/>
        <v>0</v>
      </c>
      <c r="BH47" s="5">
        <f t="shared" si="19"/>
        <v>0</v>
      </c>
      <c r="BI47" s="5">
        <f t="shared" si="19"/>
        <v>0</v>
      </c>
      <c r="BJ47" s="5">
        <f t="shared" si="19"/>
        <v>0</v>
      </c>
      <c r="BK47" s="5">
        <f t="shared" si="19"/>
        <v>0</v>
      </c>
      <c r="BL47" s="5">
        <f t="shared" si="19"/>
        <v>0</v>
      </c>
      <c r="BM47" s="5">
        <f t="shared" si="19"/>
        <v>0</v>
      </c>
      <c r="BN47" s="5">
        <f t="shared" si="19"/>
        <v>0</v>
      </c>
      <c r="BO47" s="5">
        <f t="shared" si="19"/>
        <v>0</v>
      </c>
      <c r="BP47" s="5">
        <f t="shared" si="19"/>
        <v>0</v>
      </c>
      <c r="BQ47" s="5">
        <f t="shared" si="19"/>
        <v>5</v>
      </c>
    </row>
    <row r="48" spans="1:69" outlineLevel="2">
      <c r="A48" s="34"/>
      <c r="B48" s="34"/>
      <c r="C48" s="64"/>
      <c r="D48" s="65"/>
      <c r="E48" s="21" t="s">
        <v>238</v>
      </c>
      <c r="F48" s="21"/>
      <c r="G48" s="21" t="s">
        <v>285</v>
      </c>
      <c r="H48" s="21"/>
      <c r="I48" s="21"/>
      <c r="J48" s="14">
        <f t="shared" ref="J48:BQ48" si="20" xml:space="preserve">  INDEX( $J46:$BQ46, MATCH( J46, $J47:$BQ47, 0 ) )</f>
        <v>12</v>
      </c>
      <c r="K48" s="14">
        <f t="shared" si="20"/>
        <v>24</v>
      </c>
      <c r="L48" s="14">
        <f t="shared" si="20"/>
        <v>36</v>
      </c>
      <c r="M48" s="14">
        <f t="shared" si="20"/>
        <v>48</v>
      </c>
      <c r="N48" s="14">
        <f t="shared" si="20"/>
        <v>60</v>
      </c>
      <c r="O48" s="14" t="e">
        <f t="shared" si="20"/>
        <v>#N/A</v>
      </c>
      <c r="P48" s="14" t="e">
        <f t="shared" si="20"/>
        <v>#N/A</v>
      </c>
      <c r="Q48" s="14" t="e">
        <f t="shared" si="20"/>
        <v>#N/A</v>
      </c>
      <c r="R48" s="14" t="e">
        <f t="shared" si="20"/>
        <v>#N/A</v>
      </c>
      <c r="S48" s="14" t="e">
        <f t="shared" si="20"/>
        <v>#N/A</v>
      </c>
      <c r="T48" s="14" t="e">
        <f t="shared" si="20"/>
        <v>#N/A</v>
      </c>
      <c r="U48" s="14" t="e">
        <f t="shared" si="20"/>
        <v>#N/A</v>
      </c>
      <c r="V48" s="14" t="e">
        <f t="shared" si="20"/>
        <v>#N/A</v>
      </c>
      <c r="W48" s="14" t="e">
        <f t="shared" si="20"/>
        <v>#N/A</v>
      </c>
      <c r="X48" s="14" t="e">
        <f t="shared" si="20"/>
        <v>#N/A</v>
      </c>
      <c r="Y48" s="14" t="e">
        <f t="shared" si="20"/>
        <v>#N/A</v>
      </c>
      <c r="Z48" s="14" t="e">
        <f t="shared" si="20"/>
        <v>#N/A</v>
      </c>
      <c r="AA48" s="14" t="e">
        <f t="shared" si="20"/>
        <v>#N/A</v>
      </c>
      <c r="AB48" s="14" t="e">
        <f t="shared" si="20"/>
        <v>#N/A</v>
      </c>
      <c r="AC48" s="14" t="e">
        <f t="shared" si="20"/>
        <v>#N/A</v>
      </c>
      <c r="AD48" s="14" t="e">
        <f t="shared" si="20"/>
        <v>#N/A</v>
      </c>
      <c r="AE48" s="14" t="e">
        <f t="shared" si="20"/>
        <v>#N/A</v>
      </c>
      <c r="AF48" s="14" t="e">
        <f t="shared" si="20"/>
        <v>#N/A</v>
      </c>
      <c r="AG48" s="14" t="e">
        <f t="shared" si="20"/>
        <v>#N/A</v>
      </c>
      <c r="AH48" s="14" t="e">
        <f t="shared" si="20"/>
        <v>#N/A</v>
      </c>
      <c r="AI48" s="14" t="e">
        <f t="shared" si="20"/>
        <v>#N/A</v>
      </c>
      <c r="AJ48" s="14" t="e">
        <f t="shared" si="20"/>
        <v>#N/A</v>
      </c>
      <c r="AK48" s="14" t="e">
        <f t="shared" si="20"/>
        <v>#N/A</v>
      </c>
      <c r="AL48" s="14" t="e">
        <f t="shared" si="20"/>
        <v>#N/A</v>
      </c>
      <c r="AM48" s="14" t="e">
        <f t="shared" si="20"/>
        <v>#N/A</v>
      </c>
      <c r="AN48" s="14" t="e">
        <f t="shared" si="20"/>
        <v>#N/A</v>
      </c>
      <c r="AO48" s="14" t="e">
        <f t="shared" si="20"/>
        <v>#N/A</v>
      </c>
      <c r="AP48" s="14" t="e">
        <f t="shared" si="20"/>
        <v>#N/A</v>
      </c>
      <c r="AQ48" s="14" t="e">
        <f t="shared" si="20"/>
        <v>#N/A</v>
      </c>
      <c r="AR48" s="14" t="e">
        <f t="shared" si="20"/>
        <v>#N/A</v>
      </c>
      <c r="AS48" s="14" t="e">
        <f t="shared" si="20"/>
        <v>#N/A</v>
      </c>
      <c r="AT48" s="14" t="e">
        <f t="shared" si="20"/>
        <v>#N/A</v>
      </c>
      <c r="AU48" s="14" t="e">
        <f t="shared" si="20"/>
        <v>#N/A</v>
      </c>
      <c r="AV48" s="14" t="e">
        <f t="shared" si="20"/>
        <v>#N/A</v>
      </c>
      <c r="AW48" s="14" t="e">
        <f t="shared" si="20"/>
        <v>#N/A</v>
      </c>
      <c r="AX48" s="14" t="e">
        <f t="shared" si="20"/>
        <v>#N/A</v>
      </c>
      <c r="AY48" s="14" t="e">
        <f t="shared" si="20"/>
        <v>#N/A</v>
      </c>
      <c r="AZ48" s="14" t="e">
        <f t="shared" si="20"/>
        <v>#N/A</v>
      </c>
      <c r="BA48" s="14" t="e">
        <f t="shared" si="20"/>
        <v>#N/A</v>
      </c>
      <c r="BB48" s="14" t="e">
        <f t="shared" si="20"/>
        <v>#N/A</v>
      </c>
      <c r="BC48" s="14" t="e">
        <f t="shared" si="20"/>
        <v>#N/A</v>
      </c>
      <c r="BD48" s="14" t="e">
        <f t="shared" si="20"/>
        <v>#N/A</v>
      </c>
      <c r="BE48" s="14" t="e">
        <f t="shared" si="20"/>
        <v>#N/A</v>
      </c>
      <c r="BF48" s="14" t="e">
        <f t="shared" si="20"/>
        <v>#N/A</v>
      </c>
      <c r="BG48" s="14" t="e">
        <f t="shared" si="20"/>
        <v>#N/A</v>
      </c>
      <c r="BH48" s="14" t="e">
        <f t="shared" si="20"/>
        <v>#N/A</v>
      </c>
      <c r="BI48" s="14" t="e">
        <f t="shared" si="20"/>
        <v>#N/A</v>
      </c>
      <c r="BJ48" s="14" t="e">
        <f t="shared" si="20"/>
        <v>#N/A</v>
      </c>
      <c r="BK48" s="14" t="e">
        <f t="shared" si="20"/>
        <v>#N/A</v>
      </c>
      <c r="BL48" s="14" t="e">
        <f t="shared" si="20"/>
        <v>#N/A</v>
      </c>
      <c r="BM48" s="14" t="e">
        <f t="shared" si="20"/>
        <v>#N/A</v>
      </c>
      <c r="BN48" s="14" t="e">
        <f t="shared" si="20"/>
        <v>#N/A</v>
      </c>
      <c r="BO48" s="14" t="e">
        <f t="shared" si="20"/>
        <v>#N/A</v>
      </c>
      <c r="BP48" s="14" t="e">
        <f t="shared" si="20"/>
        <v>#N/A</v>
      </c>
      <c r="BQ48" s="14" t="e">
        <f t="shared" si="20"/>
        <v>#N/A</v>
      </c>
    </row>
    <row r="49" spans="1:69" outlineLevel="1"/>
    <row r="50" spans="1:69" outlineLevel="1"/>
    <row r="51" spans="1:69" outlineLevel="1">
      <c r="B51" s="25" t="s">
        <v>127</v>
      </c>
    </row>
    <row r="52" spans="1:69" outlineLevel="2">
      <c r="E52" s="8" t="str">
        <f t="shared" ref="E52:BQ52" si="21" xml:space="preserve">  E$19</f>
        <v>Model period end</v>
      </c>
      <c r="F52" s="8">
        <f t="shared" si="21"/>
        <v>0</v>
      </c>
      <c r="G52" s="8" t="str">
        <f t="shared" si="21"/>
        <v>date</v>
      </c>
      <c r="H52" s="8">
        <f t="shared" si="21"/>
        <v>0</v>
      </c>
      <c r="I52" s="8">
        <f t="shared" si="21"/>
        <v>0</v>
      </c>
      <c r="J52" s="8">
        <f t="shared" si="21"/>
        <v>45077</v>
      </c>
      <c r="K52" s="8">
        <f t="shared" si="21"/>
        <v>45107</v>
      </c>
      <c r="L52" s="8">
        <f t="shared" si="21"/>
        <v>45138</v>
      </c>
      <c r="M52" s="8">
        <f t="shared" si="21"/>
        <v>45169</v>
      </c>
      <c r="N52" s="8">
        <f t="shared" si="21"/>
        <v>45199</v>
      </c>
      <c r="O52" s="8">
        <f t="shared" si="21"/>
        <v>45230</v>
      </c>
      <c r="P52" s="8">
        <f t="shared" si="21"/>
        <v>45260</v>
      </c>
      <c r="Q52" s="8">
        <f t="shared" si="21"/>
        <v>45291</v>
      </c>
      <c r="R52" s="8">
        <f t="shared" si="21"/>
        <v>45322</v>
      </c>
      <c r="S52" s="8">
        <f t="shared" si="21"/>
        <v>45351</v>
      </c>
      <c r="T52" s="8">
        <f t="shared" si="21"/>
        <v>45382</v>
      </c>
      <c r="U52" s="8">
        <f t="shared" si="21"/>
        <v>45412</v>
      </c>
      <c r="V52" s="8">
        <f t="shared" si="21"/>
        <v>45443</v>
      </c>
      <c r="W52" s="8">
        <f t="shared" si="21"/>
        <v>45473</v>
      </c>
      <c r="X52" s="8">
        <f t="shared" si="21"/>
        <v>45504</v>
      </c>
      <c r="Y52" s="8">
        <f t="shared" si="21"/>
        <v>45535</v>
      </c>
      <c r="Z52" s="8">
        <f t="shared" si="21"/>
        <v>45565</v>
      </c>
      <c r="AA52" s="8">
        <f t="shared" si="21"/>
        <v>45596</v>
      </c>
      <c r="AB52" s="8">
        <f t="shared" si="21"/>
        <v>45626</v>
      </c>
      <c r="AC52" s="8">
        <f t="shared" si="21"/>
        <v>45657</v>
      </c>
      <c r="AD52" s="8">
        <f t="shared" si="21"/>
        <v>45688</v>
      </c>
      <c r="AE52" s="8">
        <f t="shared" si="21"/>
        <v>45716</v>
      </c>
      <c r="AF52" s="8">
        <f t="shared" si="21"/>
        <v>45747</v>
      </c>
      <c r="AG52" s="8">
        <f t="shared" si="21"/>
        <v>45777</v>
      </c>
      <c r="AH52" s="8">
        <f t="shared" si="21"/>
        <v>45808</v>
      </c>
      <c r="AI52" s="8">
        <f t="shared" si="21"/>
        <v>45838</v>
      </c>
      <c r="AJ52" s="8">
        <f t="shared" si="21"/>
        <v>45869</v>
      </c>
      <c r="AK52" s="8">
        <f t="shared" si="21"/>
        <v>45900</v>
      </c>
      <c r="AL52" s="8">
        <f t="shared" si="21"/>
        <v>45930</v>
      </c>
      <c r="AM52" s="8">
        <f t="shared" si="21"/>
        <v>45961</v>
      </c>
      <c r="AN52" s="8">
        <f t="shared" si="21"/>
        <v>45991</v>
      </c>
      <c r="AO52" s="8">
        <f t="shared" si="21"/>
        <v>46022</v>
      </c>
      <c r="AP52" s="8">
        <f t="shared" si="21"/>
        <v>46053</v>
      </c>
      <c r="AQ52" s="8">
        <f t="shared" si="21"/>
        <v>46081</v>
      </c>
      <c r="AR52" s="8">
        <f t="shared" si="21"/>
        <v>46112</v>
      </c>
      <c r="AS52" s="8">
        <f t="shared" si="21"/>
        <v>46142</v>
      </c>
      <c r="AT52" s="8">
        <f t="shared" si="21"/>
        <v>46173</v>
      </c>
      <c r="AU52" s="8">
        <f t="shared" si="21"/>
        <v>46203</v>
      </c>
      <c r="AV52" s="8">
        <f t="shared" si="21"/>
        <v>46234</v>
      </c>
      <c r="AW52" s="8">
        <f t="shared" si="21"/>
        <v>46265</v>
      </c>
      <c r="AX52" s="8">
        <f t="shared" si="21"/>
        <v>46295</v>
      </c>
      <c r="AY52" s="8">
        <f t="shared" si="21"/>
        <v>46326</v>
      </c>
      <c r="AZ52" s="8">
        <f t="shared" si="21"/>
        <v>46356</v>
      </c>
      <c r="BA52" s="8">
        <f t="shared" si="21"/>
        <v>46387</v>
      </c>
      <c r="BB52" s="8">
        <f t="shared" si="21"/>
        <v>46418</v>
      </c>
      <c r="BC52" s="8">
        <f t="shared" si="21"/>
        <v>46446</v>
      </c>
      <c r="BD52" s="8">
        <f t="shared" si="21"/>
        <v>46477</v>
      </c>
      <c r="BE52" s="8">
        <f t="shared" si="21"/>
        <v>46507</v>
      </c>
      <c r="BF52" s="8">
        <f t="shared" si="21"/>
        <v>46538</v>
      </c>
      <c r="BG52" s="8">
        <f t="shared" si="21"/>
        <v>46568</v>
      </c>
      <c r="BH52" s="8">
        <f t="shared" si="21"/>
        <v>46599</v>
      </c>
      <c r="BI52" s="8">
        <f t="shared" si="21"/>
        <v>46630</v>
      </c>
      <c r="BJ52" s="8">
        <f t="shared" si="21"/>
        <v>46660</v>
      </c>
      <c r="BK52" s="8">
        <f t="shared" si="21"/>
        <v>46691</v>
      </c>
      <c r="BL52" s="8">
        <f t="shared" si="21"/>
        <v>46721</v>
      </c>
      <c r="BM52" s="8">
        <f t="shared" si="21"/>
        <v>46752</v>
      </c>
      <c r="BN52" s="8">
        <f t="shared" si="21"/>
        <v>46783</v>
      </c>
      <c r="BO52" s="8">
        <f t="shared" si="21"/>
        <v>46812</v>
      </c>
      <c r="BP52" s="8">
        <f t="shared" si="21"/>
        <v>46843</v>
      </c>
      <c r="BQ52" s="8">
        <f t="shared" si="21"/>
        <v>46873</v>
      </c>
    </row>
    <row r="53" spans="1:69" outlineLevel="2">
      <c r="E53" s="5" t="str">
        <f t="shared" ref="E53:BQ53" si="22" xml:space="preserve">  E$28</f>
        <v>Period number</v>
      </c>
      <c r="F53" s="5">
        <f t="shared" si="22"/>
        <v>0</v>
      </c>
      <c r="G53" s="5" t="str">
        <f t="shared" si="22"/>
        <v>Counter</v>
      </c>
      <c r="H53" s="5">
        <f t="shared" si="22"/>
        <v>0</v>
      </c>
      <c r="I53" s="5">
        <f t="shared" si="22"/>
        <v>0</v>
      </c>
      <c r="J53" s="5">
        <f t="shared" si="22"/>
        <v>1</v>
      </c>
      <c r="K53" s="5">
        <f t="shared" si="22"/>
        <v>2</v>
      </c>
      <c r="L53" s="5">
        <f t="shared" si="22"/>
        <v>3</v>
      </c>
      <c r="M53" s="5">
        <f t="shared" si="22"/>
        <v>4</v>
      </c>
      <c r="N53" s="5">
        <f t="shared" si="22"/>
        <v>5</v>
      </c>
      <c r="O53" s="5">
        <f t="shared" si="22"/>
        <v>6</v>
      </c>
      <c r="P53" s="5">
        <f t="shared" si="22"/>
        <v>7</v>
      </c>
      <c r="Q53" s="5">
        <f t="shared" si="22"/>
        <v>8</v>
      </c>
      <c r="R53" s="5">
        <f t="shared" si="22"/>
        <v>9</v>
      </c>
      <c r="S53" s="5">
        <f t="shared" si="22"/>
        <v>10</v>
      </c>
      <c r="T53" s="5">
        <f t="shared" si="22"/>
        <v>11</v>
      </c>
      <c r="U53" s="5">
        <f t="shared" si="22"/>
        <v>12</v>
      </c>
      <c r="V53" s="5">
        <f t="shared" si="22"/>
        <v>13</v>
      </c>
      <c r="W53" s="5">
        <f t="shared" si="22"/>
        <v>14</v>
      </c>
      <c r="X53" s="5">
        <f t="shared" si="22"/>
        <v>15</v>
      </c>
      <c r="Y53" s="5">
        <f t="shared" si="22"/>
        <v>16</v>
      </c>
      <c r="Z53" s="5">
        <f t="shared" si="22"/>
        <v>17</v>
      </c>
      <c r="AA53" s="5">
        <f t="shared" si="22"/>
        <v>18</v>
      </c>
      <c r="AB53" s="5">
        <f t="shared" si="22"/>
        <v>19</v>
      </c>
      <c r="AC53" s="5">
        <f t="shared" si="22"/>
        <v>20</v>
      </c>
      <c r="AD53" s="5">
        <f t="shared" si="22"/>
        <v>21</v>
      </c>
      <c r="AE53" s="5">
        <f t="shared" si="22"/>
        <v>22</v>
      </c>
      <c r="AF53" s="5">
        <f t="shared" si="22"/>
        <v>23</v>
      </c>
      <c r="AG53" s="5">
        <f t="shared" si="22"/>
        <v>24</v>
      </c>
      <c r="AH53" s="5">
        <f t="shared" si="22"/>
        <v>25</v>
      </c>
      <c r="AI53" s="5">
        <f t="shared" si="22"/>
        <v>26</v>
      </c>
      <c r="AJ53" s="5">
        <f t="shared" si="22"/>
        <v>27</v>
      </c>
      <c r="AK53" s="5">
        <f t="shared" si="22"/>
        <v>28</v>
      </c>
      <c r="AL53" s="5">
        <f t="shared" si="22"/>
        <v>29</v>
      </c>
      <c r="AM53" s="5">
        <f t="shared" si="22"/>
        <v>30</v>
      </c>
      <c r="AN53" s="5">
        <f t="shared" si="22"/>
        <v>31</v>
      </c>
      <c r="AO53" s="5">
        <f t="shared" si="22"/>
        <v>32</v>
      </c>
      <c r="AP53" s="5">
        <f t="shared" si="22"/>
        <v>33</v>
      </c>
      <c r="AQ53" s="5">
        <f t="shared" si="22"/>
        <v>34</v>
      </c>
      <c r="AR53" s="5">
        <f t="shared" si="22"/>
        <v>35</v>
      </c>
      <c r="AS53" s="5">
        <f t="shared" si="22"/>
        <v>36</v>
      </c>
      <c r="AT53" s="5">
        <f t="shared" si="22"/>
        <v>37</v>
      </c>
      <c r="AU53" s="5">
        <f t="shared" si="22"/>
        <v>38</v>
      </c>
      <c r="AV53" s="5">
        <f t="shared" si="22"/>
        <v>39</v>
      </c>
      <c r="AW53" s="5">
        <f t="shared" si="22"/>
        <v>40</v>
      </c>
      <c r="AX53" s="5">
        <f t="shared" si="22"/>
        <v>41</v>
      </c>
      <c r="AY53" s="5">
        <f t="shared" si="22"/>
        <v>42</v>
      </c>
      <c r="AZ53" s="5">
        <f t="shared" si="22"/>
        <v>43</v>
      </c>
      <c r="BA53" s="5">
        <f t="shared" si="22"/>
        <v>44</v>
      </c>
      <c r="BB53" s="5">
        <f t="shared" si="22"/>
        <v>45</v>
      </c>
      <c r="BC53" s="5">
        <f t="shared" si="22"/>
        <v>46</v>
      </c>
      <c r="BD53" s="5">
        <f t="shared" si="22"/>
        <v>47</v>
      </c>
      <c r="BE53" s="5">
        <f t="shared" si="22"/>
        <v>48</v>
      </c>
      <c r="BF53" s="5">
        <f t="shared" si="22"/>
        <v>49</v>
      </c>
      <c r="BG53" s="5">
        <f t="shared" si="22"/>
        <v>50</v>
      </c>
      <c r="BH53" s="5">
        <f t="shared" si="22"/>
        <v>51</v>
      </c>
      <c r="BI53" s="5">
        <f t="shared" si="22"/>
        <v>52</v>
      </c>
      <c r="BJ53" s="5">
        <f t="shared" si="22"/>
        <v>53</v>
      </c>
      <c r="BK53" s="5">
        <f t="shared" si="22"/>
        <v>54</v>
      </c>
      <c r="BL53" s="5">
        <f t="shared" si="22"/>
        <v>55</v>
      </c>
      <c r="BM53" s="5">
        <f t="shared" si="22"/>
        <v>56</v>
      </c>
      <c r="BN53" s="5">
        <f t="shared" si="22"/>
        <v>57</v>
      </c>
      <c r="BO53" s="5">
        <f t="shared" si="22"/>
        <v>58</v>
      </c>
      <c r="BP53" s="5">
        <f t="shared" si="22"/>
        <v>59</v>
      </c>
      <c r="BQ53" s="5">
        <f t="shared" si="22"/>
        <v>60</v>
      </c>
    </row>
    <row r="54" spans="1:69" outlineLevel="2">
      <c r="E54" s="5" t="str">
        <f t="shared" ref="E54:BQ54" si="23" xml:space="preserve">  E$321</f>
        <v>Month to Year (financial year) : period end flag</v>
      </c>
      <c r="F54" s="5">
        <f t="shared" si="23"/>
        <v>0</v>
      </c>
      <c r="G54" s="5" t="str">
        <f t="shared" si="23"/>
        <v>counter</v>
      </c>
      <c r="H54" s="5">
        <f t="shared" si="23"/>
        <v>0</v>
      </c>
      <c r="I54" s="5">
        <f t="shared" si="23"/>
        <v>0</v>
      </c>
      <c r="J54" s="5">
        <f t="shared" si="23"/>
        <v>0</v>
      </c>
      <c r="K54" s="5">
        <f t="shared" si="23"/>
        <v>0</v>
      </c>
      <c r="L54" s="5">
        <f t="shared" si="23"/>
        <v>0</v>
      </c>
      <c r="M54" s="5">
        <f t="shared" si="23"/>
        <v>0</v>
      </c>
      <c r="N54" s="5">
        <f t="shared" si="23"/>
        <v>0</v>
      </c>
      <c r="O54" s="5">
        <f t="shared" si="23"/>
        <v>0</v>
      </c>
      <c r="P54" s="5">
        <f t="shared" si="23"/>
        <v>0</v>
      </c>
      <c r="Q54" s="5">
        <f t="shared" si="23"/>
        <v>0</v>
      </c>
      <c r="R54" s="5">
        <f t="shared" si="23"/>
        <v>0</v>
      </c>
      <c r="S54" s="5">
        <f t="shared" si="23"/>
        <v>0</v>
      </c>
      <c r="T54" s="5">
        <f t="shared" si="23"/>
        <v>0</v>
      </c>
      <c r="U54" s="5">
        <f t="shared" si="23"/>
        <v>1</v>
      </c>
      <c r="V54" s="5">
        <f t="shared" si="23"/>
        <v>0</v>
      </c>
      <c r="W54" s="5">
        <f t="shared" si="23"/>
        <v>0</v>
      </c>
      <c r="X54" s="5">
        <f t="shared" si="23"/>
        <v>0</v>
      </c>
      <c r="Y54" s="5">
        <f t="shared" si="23"/>
        <v>0</v>
      </c>
      <c r="Z54" s="5">
        <f t="shared" si="23"/>
        <v>0</v>
      </c>
      <c r="AA54" s="5">
        <f t="shared" si="23"/>
        <v>0</v>
      </c>
      <c r="AB54" s="5">
        <f t="shared" si="23"/>
        <v>0</v>
      </c>
      <c r="AC54" s="5">
        <f t="shared" si="23"/>
        <v>0</v>
      </c>
      <c r="AD54" s="5">
        <f t="shared" si="23"/>
        <v>0</v>
      </c>
      <c r="AE54" s="5">
        <f t="shared" si="23"/>
        <v>0</v>
      </c>
      <c r="AF54" s="5">
        <f t="shared" si="23"/>
        <v>0</v>
      </c>
      <c r="AG54" s="5">
        <f t="shared" si="23"/>
        <v>2</v>
      </c>
      <c r="AH54" s="5">
        <f t="shared" si="23"/>
        <v>0</v>
      </c>
      <c r="AI54" s="5">
        <f t="shared" si="23"/>
        <v>0</v>
      </c>
      <c r="AJ54" s="5">
        <f t="shared" si="23"/>
        <v>0</v>
      </c>
      <c r="AK54" s="5">
        <f t="shared" si="23"/>
        <v>0</v>
      </c>
      <c r="AL54" s="5">
        <f t="shared" si="23"/>
        <v>0</v>
      </c>
      <c r="AM54" s="5">
        <f t="shared" si="23"/>
        <v>0</v>
      </c>
      <c r="AN54" s="5">
        <f t="shared" si="23"/>
        <v>0</v>
      </c>
      <c r="AO54" s="5">
        <f t="shared" si="23"/>
        <v>0</v>
      </c>
      <c r="AP54" s="5">
        <f t="shared" si="23"/>
        <v>0</v>
      </c>
      <c r="AQ54" s="5">
        <f t="shared" si="23"/>
        <v>0</v>
      </c>
      <c r="AR54" s="5">
        <f t="shared" si="23"/>
        <v>0</v>
      </c>
      <c r="AS54" s="5">
        <f t="shared" si="23"/>
        <v>3</v>
      </c>
      <c r="AT54" s="5">
        <f t="shared" si="23"/>
        <v>0</v>
      </c>
      <c r="AU54" s="5">
        <f t="shared" si="23"/>
        <v>0</v>
      </c>
      <c r="AV54" s="5">
        <f t="shared" si="23"/>
        <v>0</v>
      </c>
      <c r="AW54" s="5">
        <f t="shared" si="23"/>
        <v>0</v>
      </c>
      <c r="AX54" s="5">
        <f t="shared" si="23"/>
        <v>0</v>
      </c>
      <c r="AY54" s="5">
        <f t="shared" si="23"/>
        <v>0</v>
      </c>
      <c r="AZ54" s="5">
        <f t="shared" si="23"/>
        <v>0</v>
      </c>
      <c r="BA54" s="5">
        <f t="shared" si="23"/>
        <v>0</v>
      </c>
      <c r="BB54" s="5">
        <f t="shared" si="23"/>
        <v>0</v>
      </c>
      <c r="BC54" s="5">
        <f t="shared" si="23"/>
        <v>0</v>
      </c>
      <c r="BD54" s="5">
        <f t="shared" si="23"/>
        <v>0</v>
      </c>
      <c r="BE54" s="5">
        <f t="shared" si="23"/>
        <v>4</v>
      </c>
      <c r="BF54" s="5">
        <f t="shared" si="23"/>
        <v>0</v>
      </c>
      <c r="BG54" s="5">
        <f t="shared" si="23"/>
        <v>0</v>
      </c>
      <c r="BH54" s="5">
        <f t="shared" si="23"/>
        <v>0</v>
      </c>
      <c r="BI54" s="5">
        <f t="shared" si="23"/>
        <v>0</v>
      </c>
      <c r="BJ54" s="5">
        <f t="shared" si="23"/>
        <v>0</v>
      </c>
      <c r="BK54" s="5">
        <f t="shared" si="23"/>
        <v>0</v>
      </c>
      <c r="BL54" s="5">
        <f t="shared" si="23"/>
        <v>0</v>
      </c>
      <c r="BM54" s="5">
        <f t="shared" si="23"/>
        <v>0</v>
      </c>
      <c r="BN54" s="5">
        <f t="shared" si="23"/>
        <v>0</v>
      </c>
      <c r="BO54" s="5">
        <f t="shared" si="23"/>
        <v>0</v>
      </c>
      <c r="BP54" s="5">
        <f t="shared" si="23"/>
        <v>0</v>
      </c>
      <c r="BQ54" s="5">
        <f t="shared" si="23"/>
        <v>5</v>
      </c>
    </row>
    <row r="55" spans="1:69" outlineLevel="2">
      <c r="A55" s="34"/>
      <c r="B55" s="34"/>
      <c r="C55" s="64"/>
      <c r="D55" s="65"/>
      <c r="E55" s="21" t="s">
        <v>127</v>
      </c>
      <c r="F55" s="21"/>
      <c r="G55" s="21" t="s">
        <v>214</v>
      </c>
      <c r="H55" s="21"/>
      <c r="I55" s="21"/>
      <c r="J55" s="13">
        <f t="shared" ref="J55:BQ55" si="24" xml:space="preserve">  INDEX( $J52:$BQ52, MATCH( J53, $J54:$BQ54, 0 ) )</f>
        <v>45412</v>
      </c>
      <c r="K55" s="13">
        <f t="shared" si="24"/>
        <v>45777</v>
      </c>
      <c r="L55" s="13">
        <f t="shared" si="24"/>
        <v>46142</v>
      </c>
      <c r="M55" s="13">
        <f t="shared" si="24"/>
        <v>46507</v>
      </c>
      <c r="N55" s="13">
        <f t="shared" si="24"/>
        <v>46873</v>
      </c>
      <c r="O55" s="13" t="e">
        <f t="shared" si="24"/>
        <v>#N/A</v>
      </c>
      <c r="P55" s="13" t="e">
        <f t="shared" si="24"/>
        <v>#N/A</v>
      </c>
      <c r="Q55" s="13" t="e">
        <f t="shared" si="24"/>
        <v>#N/A</v>
      </c>
      <c r="R55" s="13" t="e">
        <f t="shared" si="24"/>
        <v>#N/A</v>
      </c>
      <c r="S55" s="13" t="e">
        <f t="shared" si="24"/>
        <v>#N/A</v>
      </c>
      <c r="T55" s="13" t="e">
        <f t="shared" si="24"/>
        <v>#N/A</v>
      </c>
      <c r="U55" s="13" t="e">
        <f t="shared" si="24"/>
        <v>#N/A</v>
      </c>
      <c r="V55" s="13" t="e">
        <f t="shared" si="24"/>
        <v>#N/A</v>
      </c>
      <c r="W55" s="13" t="e">
        <f t="shared" si="24"/>
        <v>#N/A</v>
      </c>
      <c r="X55" s="13" t="e">
        <f t="shared" si="24"/>
        <v>#N/A</v>
      </c>
      <c r="Y55" s="13" t="e">
        <f t="shared" si="24"/>
        <v>#N/A</v>
      </c>
      <c r="Z55" s="13" t="e">
        <f t="shared" si="24"/>
        <v>#N/A</v>
      </c>
      <c r="AA55" s="13" t="e">
        <f t="shared" si="24"/>
        <v>#N/A</v>
      </c>
      <c r="AB55" s="13" t="e">
        <f t="shared" si="24"/>
        <v>#N/A</v>
      </c>
      <c r="AC55" s="13" t="e">
        <f t="shared" si="24"/>
        <v>#N/A</v>
      </c>
      <c r="AD55" s="13" t="e">
        <f t="shared" si="24"/>
        <v>#N/A</v>
      </c>
      <c r="AE55" s="13" t="e">
        <f t="shared" si="24"/>
        <v>#N/A</v>
      </c>
      <c r="AF55" s="13" t="e">
        <f t="shared" si="24"/>
        <v>#N/A</v>
      </c>
      <c r="AG55" s="13" t="e">
        <f t="shared" si="24"/>
        <v>#N/A</v>
      </c>
      <c r="AH55" s="13" t="e">
        <f t="shared" si="24"/>
        <v>#N/A</v>
      </c>
      <c r="AI55" s="13" t="e">
        <f t="shared" si="24"/>
        <v>#N/A</v>
      </c>
      <c r="AJ55" s="13" t="e">
        <f t="shared" si="24"/>
        <v>#N/A</v>
      </c>
      <c r="AK55" s="13" t="e">
        <f t="shared" si="24"/>
        <v>#N/A</v>
      </c>
      <c r="AL55" s="13" t="e">
        <f t="shared" si="24"/>
        <v>#N/A</v>
      </c>
      <c r="AM55" s="13" t="e">
        <f t="shared" si="24"/>
        <v>#N/A</v>
      </c>
      <c r="AN55" s="13" t="e">
        <f t="shared" si="24"/>
        <v>#N/A</v>
      </c>
      <c r="AO55" s="13" t="e">
        <f t="shared" si="24"/>
        <v>#N/A</v>
      </c>
      <c r="AP55" s="13" t="e">
        <f t="shared" si="24"/>
        <v>#N/A</v>
      </c>
      <c r="AQ55" s="13" t="e">
        <f t="shared" si="24"/>
        <v>#N/A</v>
      </c>
      <c r="AR55" s="13" t="e">
        <f t="shared" si="24"/>
        <v>#N/A</v>
      </c>
      <c r="AS55" s="13" t="e">
        <f t="shared" si="24"/>
        <v>#N/A</v>
      </c>
      <c r="AT55" s="13" t="e">
        <f t="shared" si="24"/>
        <v>#N/A</v>
      </c>
      <c r="AU55" s="13" t="e">
        <f t="shared" si="24"/>
        <v>#N/A</v>
      </c>
      <c r="AV55" s="13" t="e">
        <f t="shared" si="24"/>
        <v>#N/A</v>
      </c>
      <c r="AW55" s="13" t="e">
        <f t="shared" si="24"/>
        <v>#N/A</v>
      </c>
      <c r="AX55" s="13" t="e">
        <f t="shared" si="24"/>
        <v>#N/A</v>
      </c>
      <c r="AY55" s="13" t="e">
        <f t="shared" si="24"/>
        <v>#N/A</v>
      </c>
      <c r="AZ55" s="13" t="e">
        <f t="shared" si="24"/>
        <v>#N/A</v>
      </c>
      <c r="BA55" s="13" t="e">
        <f t="shared" si="24"/>
        <v>#N/A</v>
      </c>
      <c r="BB55" s="13" t="e">
        <f t="shared" si="24"/>
        <v>#N/A</v>
      </c>
      <c r="BC55" s="13" t="e">
        <f t="shared" si="24"/>
        <v>#N/A</v>
      </c>
      <c r="BD55" s="13" t="e">
        <f t="shared" si="24"/>
        <v>#N/A</v>
      </c>
      <c r="BE55" s="13" t="e">
        <f t="shared" si="24"/>
        <v>#N/A</v>
      </c>
      <c r="BF55" s="13" t="e">
        <f t="shared" si="24"/>
        <v>#N/A</v>
      </c>
      <c r="BG55" s="13" t="e">
        <f t="shared" si="24"/>
        <v>#N/A</v>
      </c>
      <c r="BH55" s="13" t="e">
        <f t="shared" si="24"/>
        <v>#N/A</v>
      </c>
      <c r="BI55" s="13" t="e">
        <f t="shared" si="24"/>
        <v>#N/A</v>
      </c>
      <c r="BJ55" s="13" t="e">
        <f t="shared" si="24"/>
        <v>#N/A</v>
      </c>
      <c r="BK55" s="13" t="e">
        <f t="shared" si="24"/>
        <v>#N/A</v>
      </c>
      <c r="BL55" s="13" t="e">
        <f t="shared" si="24"/>
        <v>#N/A</v>
      </c>
      <c r="BM55" s="13" t="e">
        <f t="shared" si="24"/>
        <v>#N/A</v>
      </c>
      <c r="BN55" s="13" t="e">
        <f t="shared" si="24"/>
        <v>#N/A</v>
      </c>
      <c r="BO55" s="13" t="e">
        <f t="shared" si="24"/>
        <v>#N/A</v>
      </c>
      <c r="BP55" s="13" t="e">
        <f t="shared" si="24"/>
        <v>#N/A</v>
      </c>
      <c r="BQ55" s="13" t="e">
        <f t="shared" si="24"/>
        <v>#N/A</v>
      </c>
    </row>
    <row r="56" spans="1:69" outlineLevel="1"/>
    <row r="57" spans="1:69" outlineLevel="1"/>
    <row r="58" spans="1:69" outlineLevel="1">
      <c r="B58" s="25" t="s">
        <v>193</v>
      </c>
    </row>
    <row r="59" spans="1:69" outlineLevel="2">
      <c r="E59" s="2" t="str">
        <f t="shared" ref="E59:BQ59" si="25" xml:space="preserve">  E$24</f>
        <v>Timeline label</v>
      </c>
      <c r="F59" s="2">
        <f t="shared" si="25"/>
        <v>0</v>
      </c>
      <c r="G59" s="2" t="str">
        <f t="shared" si="25"/>
        <v>GBP</v>
      </c>
      <c r="H59" s="2">
        <f t="shared" si="25"/>
        <v>0</v>
      </c>
      <c r="I59" s="2">
        <f t="shared" si="25"/>
        <v>0</v>
      </c>
      <c r="J59" s="2" t="str">
        <f t="shared" si="25"/>
        <v>Month1</v>
      </c>
      <c r="K59" s="2" t="str">
        <f t="shared" si="25"/>
        <v>Month2</v>
      </c>
      <c r="L59" s="2" t="str">
        <f t="shared" si="25"/>
        <v>Month3</v>
      </c>
      <c r="M59" s="2" t="str">
        <f t="shared" si="25"/>
        <v>Month4</v>
      </c>
      <c r="N59" s="2" t="str">
        <f t="shared" si="25"/>
        <v>Month5</v>
      </c>
      <c r="O59" s="2" t="str">
        <f t="shared" si="25"/>
        <v>Month6</v>
      </c>
      <c r="P59" s="2" t="str">
        <f t="shared" si="25"/>
        <v>Month7</v>
      </c>
      <c r="Q59" s="2" t="str">
        <f t="shared" si="25"/>
        <v>Month8</v>
      </c>
      <c r="R59" s="2" t="str">
        <f t="shared" si="25"/>
        <v>Month9</v>
      </c>
      <c r="S59" s="2" t="str">
        <f t="shared" si="25"/>
        <v>Month10</v>
      </c>
      <c r="T59" s="2" t="str">
        <f t="shared" si="25"/>
        <v>Month11</v>
      </c>
      <c r="U59" s="2" t="str">
        <f t="shared" si="25"/>
        <v>Month12</v>
      </c>
      <c r="V59" s="2" t="str">
        <f t="shared" si="25"/>
        <v>Month13</v>
      </c>
      <c r="W59" s="2" t="str">
        <f t="shared" si="25"/>
        <v>Month14</v>
      </c>
      <c r="X59" s="2" t="str">
        <f t="shared" si="25"/>
        <v>Month15</v>
      </c>
      <c r="Y59" s="2" t="str">
        <f t="shared" si="25"/>
        <v>Month16</v>
      </c>
      <c r="Z59" s="2" t="str">
        <f t="shared" si="25"/>
        <v>Month17</v>
      </c>
      <c r="AA59" s="2" t="str">
        <f t="shared" si="25"/>
        <v>Month18</v>
      </c>
      <c r="AB59" s="2" t="str">
        <f t="shared" si="25"/>
        <v>Month19</v>
      </c>
      <c r="AC59" s="2" t="str">
        <f t="shared" si="25"/>
        <v>Month20</v>
      </c>
      <c r="AD59" s="2" t="str">
        <f t="shared" si="25"/>
        <v>Month21</v>
      </c>
      <c r="AE59" s="2" t="str">
        <f t="shared" si="25"/>
        <v>Month22</v>
      </c>
      <c r="AF59" s="2" t="str">
        <f t="shared" si="25"/>
        <v>Month23</v>
      </c>
      <c r="AG59" s="2" t="str">
        <f t="shared" si="25"/>
        <v>Month24</v>
      </c>
      <c r="AH59" s="2" t="str">
        <f t="shared" si="25"/>
        <v>Month25</v>
      </c>
      <c r="AI59" s="2" t="str">
        <f t="shared" si="25"/>
        <v>Month26</v>
      </c>
      <c r="AJ59" s="2" t="str">
        <f t="shared" si="25"/>
        <v>Month27</v>
      </c>
      <c r="AK59" s="2" t="str">
        <f t="shared" si="25"/>
        <v>Month28</v>
      </c>
      <c r="AL59" s="2" t="str">
        <f t="shared" si="25"/>
        <v>Month29</v>
      </c>
      <c r="AM59" s="2" t="str">
        <f t="shared" si="25"/>
        <v>Month30</v>
      </c>
      <c r="AN59" s="2" t="str">
        <f t="shared" si="25"/>
        <v>Month31</v>
      </c>
      <c r="AO59" s="2" t="str">
        <f t="shared" si="25"/>
        <v>Month32</v>
      </c>
      <c r="AP59" s="2" t="str">
        <f t="shared" si="25"/>
        <v>Month33</v>
      </c>
      <c r="AQ59" s="2" t="str">
        <f t="shared" si="25"/>
        <v>Month34</v>
      </c>
      <c r="AR59" s="2" t="str">
        <f t="shared" si="25"/>
        <v>Month35</v>
      </c>
      <c r="AS59" s="2" t="str">
        <f t="shared" si="25"/>
        <v>Month36</v>
      </c>
      <c r="AT59" s="2" t="str">
        <f t="shared" si="25"/>
        <v>Month37</v>
      </c>
      <c r="AU59" s="2" t="str">
        <f t="shared" si="25"/>
        <v>Month38</v>
      </c>
      <c r="AV59" s="2" t="str">
        <f t="shared" si="25"/>
        <v>Month39</v>
      </c>
      <c r="AW59" s="2" t="str">
        <f t="shared" si="25"/>
        <v>Month40</v>
      </c>
      <c r="AX59" s="2" t="str">
        <f t="shared" si="25"/>
        <v>Month41</v>
      </c>
      <c r="AY59" s="2" t="str">
        <f t="shared" si="25"/>
        <v>Month42</v>
      </c>
      <c r="AZ59" s="2" t="str">
        <f t="shared" si="25"/>
        <v>Month43</v>
      </c>
      <c r="BA59" s="2" t="str">
        <f t="shared" si="25"/>
        <v>Month44</v>
      </c>
      <c r="BB59" s="2" t="str">
        <f t="shared" si="25"/>
        <v>Month45</v>
      </c>
      <c r="BC59" s="2" t="str">
        <f t="shared" si="25"/>
        <v>Month46</v>
      </c>
      <c r="BD59" s="2" t="str">
        <f t="shared" si="25"/>
        <v>Month47</v>
      </c>
      <c r="BE59" s="2" t="str">
        <f t="shared" si="25"/>
        <v>Month48</v>
      </c>
      <c r="BF59" s="2" t="str">
        <f t="shared" si="25"/>
        <v>Month49</v>
      </c>
      <c r="BG59" s="2" t="str">
        <f t="shared" si="25"/>
        <v>Month50</v>
      </c>
      <c r="BH59" s="2" t="str">
        <f t="shared" si="25"/>
        <v>Month51</v>
      </c>
      <c r="BI59" s="2" t="str">
        <f t="shared" si="25"/>
        <v>Month52</v>
      </c>
      <c r="BJ59" s="2" t="str">
        <f t="shared" si="25"/>
        <v>Month53</v>
      </c>
      <c r="BK59" s="2" t="str">
        <f t="shared" si="25"/>
        <v>Month54</v>
      </c>
      <c r="BL59" s="2" t="str">
        <f t="shared" si="25"/>
        <v>Month55</v>
      </c>
      <c r="BM59" s="2" t="str">
        <f t="shared" si="25"/>
        <v>Month56</v>
      </c>
      <c r="BN59" s="2" t="str">
        <f t="shared" si="25"/>
        <v>Month57</v>
      </c>
      <c r="BO59" s="2" t="str">
        <f t="shared" si="25"/>
        <v>Month58</v>
      </c>
      <c r="BP59" s="2" t="str">
        <f t="shared" si="25"/>
        <v>Month59</v>
      </c>
      <c r="BQ59" s="2" t="str">
        <f t="shared" si="25"/>
        <v>Month60</v>
      </c>
    </row>
    <row r="60" spans="1:69" outlineLevel="2">
      <c r="E60" s="5" t="str">
        <f t="shared" ref="E60:BQ60" si="26" xml:space="preserve">  E$28</f>
        <v>Period number</v>
      </c>
      <c r="F60" s="5">
        <f t="shared" si="26"/>
        <v>0</v>
      </c>
      <c r="G60" s="5" t="str">
        <f t="shared" si="26"/>
        <v>Counter</v>
      </c>
      <c r="H60" s="5">
        <f t="shared" si="26"/>
        <v>0</v>
      </c>
      <c r="I60" s="5">
        <f t="shared" si="26"/>
        <v>0</v>
      </c>
      <c r="J60" s="5">
        <f t="shared" si="26"/>
        <v>1</v>
      </c>
      <c r="K60" s="5">
        <f t="shared" si="26"/>
        <v>2</v>
      </c>
      <c r="L60" s="5">
        <f t="shared" si="26"/>
        <v>3</v>
      </c>
      <c r="M60" s="5">
        <f t="shared" si="26"/>
        <v>4</v>
      </c>
      <c r="N60" s="5">
        <f t="shared" si="26"/>
        <v>5</v>
      </c>
      <c r="O60" s="5">
        <f t="shared" si="26"/>
        <v>6</v>
      </c>
      <c r="P60" s="5">
        <f t="shared" si="26"/>
        <v>7</v>
      </c>
      <c r="Q60" s="5">
        <f t="shared" si="26"/>
        <v>8</v>
      </c>
      <c r="R60" s="5">
        <f t="shared" si="26"/>
        <v>9</v>
      </c>
      <c r="S60" s="5">
        <f t="shared" si="26"/>
        <v>10</v>
      </c>
      <c r="T60" s="5">
        <f t="shared" si="26"/>
        <v>11</v>
      </c>
      <c r="U60" s="5">
        <f t="shared" si="26"/>
        <v>12</v>
      </c>
      <c r="V60" s="5">
        <f t="shared" si="26"/>
        <v>13</v>
      </c>
      <c r="W60" s="5">
        <f t="shared" si="26"/>
        <v>14</v>
      </c>
      <c r="X60" s="5">
        <f t="shared" si="26"/>
        <v>15</v>
      </c>
      <c r="Y60" s="5">
        <f t="shared" si="26"/>
        <v>16</v>
      </c>
      <c r="Z60" s="5">
        <f t="shared" si="26"/>
        <v>17</v>
      </c>
      <c r="AA60" s="5">
        <f t="shared" si="26"/>
        <v>18</v>
      </c>
      <c r="AB60" s="5">
        <f t="shared" si="26"/>
        <v>19</v>
      </c>
      <c r="AC60" s="5">
        <f t="shared" si="26"/>
        <v>20</v>
      </c>
      <c r="AD60" s="5">
        <f t="shared" si="26"/>
        <v>21</v>
      </c>
      <c r="AE60" s="5">
        <f t="shared" si="26"/>
        <v>22</v>
      </c>
      <c r="AF60" s="5">
        <f t="shared" si="26"/>
        <v>23</v>
      </c>
      <c r="AG60" s="5">
        <f t="shared" si="26"/>
        <v>24</v>
      </c>
      <c r="AH60" s="5">
        <f t="shared" si="26"/>
        <v>25</v>
      </c>
      <c r="AI60" s="5">
        <f t="shared" si="26"/>
        <v>26</v>
      </c>
      <c r="AJ60" s="5">
        <f t="shared" si="26"/>
        <v>27</v>
      </c>
      <c r="AK60" s="5">
        <f t="shared" si="26"/>
        <v>28</v>
      </c>
      <c r="AL60" s="5">
        <f t="shared" si="26"/>
        <v>29</v>
      </c>
      <c r="AM60" s="5">
        <f t="shared" si="26"/>
        <v>30</v>
      </c>
      <c r="AN60" s="5">
        <f t="shared" si="26"/>
        <v>31</v>
      </c>
      <c r="AO60" s="5">
        <f t="shared" si="26"/>
        <v>32</v>
      </c>
      <c r="AP60" s="5">
        <f t="shared" si="26"/>
        <v>33</v>
      </c>
      <c r="AQ60" s="5">
        <f t="shared" si="26"/>
        <v>34</v>
      </c>
      <c r="AR60" s="5">
        <f t="shared" si="26"/>
        <v>35</v>
      </c>
      <c r="AS60" s="5">
        <f t="shared" si="26"/>
        <v>36</v>
      </c>
      <c r="AT60" s="5">
        <f t="shared" si="26"/>
        <v>37</v>
      </c>
      <c r="AU60" s="5">
        <f t="shared" si="26"/>
        <v>38</v>
      </c>
      <c r="AV60" s="5">
        <f t="shared" si="26"/>
        <v>39</v>
      </c>
      <c r="AW60" s="5">
        <f t="shared" si="26"/>
        <v>40</v>
      </c>
      <c r="AX60" s="5">
        <f t="shared" si="26"/>
        <v>41</v>
      </c>
      <c r="AY60" s="5">
        <f t="shared" si="26"/>
        <v>42</v>
      </c>
      <c r="AZ60" s="5">
        <f t="shared" si="26"/>
        <v>43</v>
      </c>
      <c r="BA60" s="5">
        <f t="shared" si="26"/>
        <v>44</v>
      </c>
      <c r="BB60" s="5">
        <f t="shared" si="26"/>
        <v>45</v>
      </c>
      <c r="BC60" s="5">
        <f t="shared" si="26"/>
        <v>46</v>
      </c>
      <c r="BD60" s="5">
        <f t="shared" si="26"/>
        <v>47</v>
      </c>
      <c r="BE60" s="5">
        <f t="shared" si="26"/>
        <v>48</v>
      </c>
      <c r="BF60" s="5">
        <f t="shared" si="26"/>
        <v>49</v>
      </c>
      <c r="BG60" s="5">
        <f t="shared" si="26"/>
        <v>50</v>
      </c>
      <c r="BH60" s="5">
        <f t="shared" si="26"/>
        <v>51</v>
      </c>
      <c r="BI60" s="5">
        <f t="shared" si="26"/>
        <v>52</v>
      </c>
      <c r="BJ60" s="5">
        <f t="shared" si="26"/>
        <v>53</v>
      </c>
      <c r="BK60" s="5">
        <f t="shared" si="26"/>
        <v>54</v>
      </c>
      <c r="BL60" s="5">
        <f t="shared" si="26"/>
        <v>55</v>
      </c>
      <c r="BM60" s="5">
        <f t="shared" si="26"/>
        <v>56</v>
      </c>
      <c r="BN60" s="5">
        <f t="shared" si="26"/>
        <v>57</v>
      </c>
      <c r="BO60" s="5">
        <f t="shared" si="26"/>
        <v>58</v>
      </c>
      <c r="BP60" s="5">
        <f t="shared" si="26"/>
        <v>59</v>
      </c>
      <c r="BQ60" s="5">
        <f t="shared" si="26"/>
        <v>60</v>
      </c>
    </row>
    <row r="61" spans="1:69" outlineLevel="2">
      <c r="E61" s="5" t="str">
        <f t="shared" ref="E61:BQ61" si="27" xml:space="preserve">  E$321</f>
        <v>Month to Year (financial year) : period end flag</v>
      </c>
      <c r="F61" s="5">
        <f t="shared" si="27"/>
        <v>0</v>
      </c>
      <c r="G61" s="5" t="str">
        <f t="shared" si="27"/>
        <v>counter</v>
      </c>
      <c r="H61" s="5">
        <f t="shared" si="27"/>
        <v>0</v>
      </c>
      <c r="I61" s="5">
        <f t="shared" si="27"/>
        <v>0</v>
      </c>
      <c r="J61" s="5">
        <f t="shared" si="27"/>
        <v>0</v>
      </c>
      <c r="K61" s="5">
        <f t="shared" si="27"/>
        <v>0</v>
      </c>
      <c r="L61" s="5">
        <f t="shared" si="27"/>
        <v>0</v>
      </c>
      <c r="M61" s="5">
        <f t="shared" si="27"/>
        <v>0</v>
      </c>
      <c r="N61" s="5">
        <f t="shared" si="27"/>
        <v>0</v>
      </c>
      <c r="O61" s="5">
        <f t="shared" si="27"/>
        <v>0</v>
      </c>
      <c r="P61" s="5">
        <f t="shared" si="27"/>
        <v>0</v>
      </c>
      <c r="Q61" s="5">
        <f t="shared" si="27"/>
        <v>0</v>
      </c>
      <c r="R61" s="5">
        <f t="shared" si="27"/>
        <v>0</v>
      </c>
      <c r="S61" s="5">
        <f t="shared" si="27"/>
        <v>0</v>
      </c>
      <c r="T61" s="5">
        <f t="shared" si="27"/>
        <v>0</v>
      </c>
      <c r="U61" s="5">
        <f t="shared" si="27"/>
        <v>1</v>
      </c>
      <c r="V61" s="5">
        <f t="shared" si="27"/>
        <v>0</v>
      </c>
      <c r="W61" s="5">
        <f t="shared" si="27"/>
        <v>0</v>
      </c>
      <c r="X61" s="5">
        <f t="shared" si="27"/>
        <v>0</v>
      </c>
      <c r="Y61" s="5">
        <f t="shared" si="27"/>
        <v>0</v>
      </c>
      <c r="Z61" s="5">
        <f t="shared" si="27"/>
        <v>0</v>
      </c>
      <c r="AA61" s="5">
        <f t="shared" si="27"/>
        <v>0</v>
      </c>
      <c r="AB61" s="5">
        <f t="shared" si="27"/>
        <v>0</v>
      </c>
      <c r="AC61" s="5">
        <f t="shared" si="27"/>
        <v>0</v>
      </c>
      <c r="AD61" s="5">
        <f t="shared" si="27"/>
        <v>0</v>
      </c>
      <c r="AE61" s="5">
        <f t="shared" si="27"/>
        <v>0</v>
      </c>
      <c r="AF61" s="5">
        <f t="shared" si="27"/>
        <v>0</v>
      </c>
      <c r="AG61" s="5">
        <f t="shared" si="27"/>
        <v>2</v>
      </c>
      <c r="AH61" s="5">
        <f t="shared" si="27"/>
        <v>0</v>
      </c>
      <c r="AI61" s="5">
        <f t="shared" si="27"/>
        <v>0</v>
      </c>
      <c r="AJ61" s="5">
        <f t="shared" si="27"/>
        <v>0</v>
      </c>
      <c r="AK61" s="5">
        <f t="shared" si="27"/>
        <v>0</v>
      </c>
      <c r="AL61" s="5">
        <f t="shared" si="27"/>
        <v>0</v>
      </c>
      <c r="AM61" s="5">
        <f t="shared" si="27"/>
        <v>0</v>
      </c>
      <c r="AN61" s="5">
        <f t="shared" si="27"/>
        <v>0</v>
      </c>
      <c r="AO61" s="5">
        <f t="shared" si="27"/>
        <v>0</v>
      </c>
      <c r="AP61" s="5">
        <f t="shared" si="27"/>
        <v>0</v>
      </c>
      <c r="AQ61" s="5">
        <f t="shared" si="27"/>
        <v>0</v>
      </c>
      <c r="AR61" s="5">
        <f t="shared" si="27"/>
        <v>0</v>
      </c>
      <c r="AS61" s="5">
        <f t="shared" si="27"/>
        <v>3</v>
      </c>
      <c r="AT61" s="5">
        <f t="shared" si="27"/>
        <v>0</v>
      </c>
      <c r="AU61" s="5">
        <f t="shared" si="27"/>
        <v>0</v>
      </c>
      <c r="AV61" s="5">
        <f t="shared" si="27"/>
        <v>0</v>
      </c>
      <c r="AW61" s="5">
        <f t="shared" si="27"/>
        <v>0</v>
      </c>
      <c r="AX61" s="5">
        <f t="shared" si="27"/>
        <v>0</v>
      </c>
      <c r="AY61" s="5">
        <f t="shared" si="27"/>
        <v>0</v>
      </c>
      <c r="AZ61" s="5">
        <f t="shared" si="27"/>
        <v>0</v>
      </c>
      <c r="BA61" s="5">
        <f t="shared" si="27"/>
        <v>0</v>
      </c>
      <c r="BB61" s="5">
        <f t="shared" si="27"/>
        <v>0</v>
      </c>
      <c r="BC61" s="5">
        <f t="shared" si="27"/>
        <v>0</v>
      </c>
      <c r="BD61" s="5">
        <f t="shared" si="27"/>
        <v>0</v>
      </c>
      <c r="BE61" s="5">
        <f t="shared" si="27"/>
        <v>4</v>
      </c>
      <c r="BF61" s="5">
        <f t="shared" si="27"/>
        <v>0</v>
      </c>
      <c r="BG61" s="5">
        <f t="shared" si="27"/>
        <v>0</v>
      </c>
      <c r="BH61" s="5">
        <f t="shared" si="27"/>
        <v>0</v>
      </c>
      <c r="BI61" s="5">
        <f t="shared" si="27"/>
        <v>0</v>
      </c>
      <c r="BJ61" s="5">
        <f t="shared" si="27"/>
        <v>0</v>
      </c>
      <c r="BK61" s="5">
        <f t="shared" si="27"/>
        <v>0</v>
      </c>
      <c r="BL61" s="5">
        <f t="shared" si="27"/>
        <v>0</v>
      </c>
      <c r="BM61" s="5">
        <f t="shared" si="27"/>
        <v>0</v>
      </c>
      <c r="BN61" s="5">
        <f t="shared" si="27"/>
        <v>0</v>
      </c>
      <c r="BO61" s="5">
        <f t="shared" si="27"/>
        <v>0</v>
      </c>
      <c r="BP61" s="5">
        <f t="shared" si="27"/>
        <v>0</v>
      </c>
      <c r="BQ61" s="5">
        <f t="shared" si="27"/>
        <v>5</v>
      </c>
    </row>
    <row r="62" spans="1:69" outlineLevel="2">
      <c r="A62" s="34"/>
      <c r="B62" s="34"/>
      <c r="C62" s="64"/>
      <c r="D62" s="65"/>
      <c r="E62" s="21" t="s">
        <v>193</v>
      </c>
      <c r="F62" s="21"/>
      <c r="G62" s="21" t="s">
        <v>257</v>
      </c>
      <c r="H62" s="3" t="e">
        <f xml:space="preserve"> SUM( J62:BQ62 )</f>
        <v>#N/A</v>
      </c>
      <c r="I62" s="21"/>
      <c r="J62" s="3" t="str">
        <f t="shared" ref="J62:BQ62" si="28" xml:space="preserve">  INDEX( $J59:$BQ59, MATCH( J60, $J61:$BQ61, 0 ) )</f>
        <v>Month12</v>
      </c>
      <c r="K62" s="3" t="str">
        <f t="shared" si="28"/>
        <v>Month24</v>
      </c>
      <c r="L62" s="3" t="str">
        <f t="shared" si="28"/>
        <v>Month36</v>
      </c>
      <c r="M62" s="3" t="str">
        <f t="shared" si="28"/>
        <v>Month48</v>
      </c>
      <c r="N62" s="3" t="str">
        <f t="shared" si="28"/>
        <v>Month60</v>
      </c>
      <c r="O62" s="3" t="e">
        <f t="shared" si="28"/>
        <v>#N/A</v>
      </c>
      <c r="P62" s="3" t="e">
        <f t="shared" si="28"/>
        <v>#N/A</v>
      </c>
      <c r="Q62" s="3" t="e">
        <f t="shared" si="28"/>
        <v>#N/A</v>
      </c>
      <c r="R62" s="3" t="e">
        <f t="shared" si="28"/>
        <v>#N/A</v>
      </c>
      <c r="S62" s="3" t="e">
        <f t="shared" si="28"/>
        <v>#N/A</v>
      </c>
      <c r="T62" s="3" t="e">
        <f t="shared" si="28"/>
        <v>#N/A</v>
      </c>
      <c r="U62" s="3" t="e">
        <f t="shared" si="28"/>
        <v>#N/A</v>
      </c>
      <c r="V62" s="3" t="e">
        <f t="shared" si="28"/>
        <v>#N/A</v>
      </c>
      <c r="W62" s="3" t="e">
        <f t="shared" si="28"/>
        <v>#N/A</v>
      </c>
      <c r="X62" s="3" t="e">
        <f t="shared" si="28"/>
        <v>#N/A</v>
      </c>
      <c r="Y62" s="3" t="e">
        <f t="shared" si="28"/>
        <v>#N/A</v>
      </c>
      <c r="Z62" s="3" t="e">
        <f t="shared" si="28"/>
        <v>#N/A</v>
      </c>
      <c r="AA62" s="3" t="e">
        <f t="shared" si="28"/>
        <v>#N/A</v>
      </c>
      <c r="AB62" s="3" t="e">
        <f t="shared" si="28"/>
        <v>#N/A</v>
      </c>
      <c r="AC62" s="3" t="e">
        <f t="shared" si="28"/>
        <v>#N/A</v>
      </c>
      <c r="AD62" s="3" t="e">
        <f t="shared" si="28"/>
        <v>#N/A</v>
      </c>
      <c r="AE62" s="3" t="e">
        <f t="shared" si="28"/>
        <v>#N/A</v>
      </c>
      <c r="AF62" s="3" t="e">
        <f t="shared" si="28"/>
        <v>#N/A</v>
      </c>
      <c r="AG62" s="3" t="e">
        <f t="shared" si="28"/>
        <v>#N/A</v>
      </c>
      <c r="AH62" s="3" t="e">
        <f t="shared" si="28"/>
        <v>#N/A</v>
      </c>
      <c r="AI62" s="3" t="e">
        <f t="shared" si="28"/>
        <v>#N/A</v>
      </c>
      <c r="AJ62" s="3" t="e">
        <f t="shared" si="28"/>
        <v>#N/A</v>
      </c>
      <c r="AK62" s="3" t="e">
        <f t="shared" si="28"/>
        <v>#N/A</v>
      </c>
      <c r="AL62" s="3" t="e">
        <f t="shared" si="28"/>
        <v>#N/A</v>
      </c>
      <c r="AM62" s="3" t="e">
        <f t="shared" si="28"/>
        <v>#N/A</v>
      </c>
      <c r="AN62" s="3" t="e">
        <f t="shared" si="28"/>
        <v>#N/A</v>
      </c>
      <c r="AO62" s="3" t="e">
        <f t="shared" si="28"/>
        <v>#N/A</v>
      </c>
      <c r="AP62" s="3" t="e">
        <f t="shared" si="28"/>
        <v>#N/A</v>
      </c>
      <c r="AQ62" s="3" t="e">
        <f t="shared" si="28"/>
        <v>#N/A</v>
      </c>
      <c r="AR62" s="3" t="e">
        <f t="shared" si="28"/>
        <v>#N/A</v>
      </c>
      <c r="AS62" s="3" t="e">
        <f t="shared" si="28"/>
        <v>#N/A</v>
      </c>
      <c r="AT62" s="3" t="e">
        <f t="shared" si="28"/>
        <v>#N/A</v>
      </c>
      <c r="AU62" s="3" t="e">
        <f t="shared" si="28"/>
        <v>#N/A</v>
      </c>
      <c r="AV62" s="3" t="e">
        <f t="shared" si="28"/>
        <v>#N/A</v>
      </c>
      <c r="AW62" s="3" t="e">
        <f t="shared" si="28"/>
        <v>#N/A</v>
      </c>
      <c r="AX62" s="3" t="e">
        <f t="shared" si="28"/>
        <v>#N/A</v>
      </c>
      <c r="AY62" s="3" t="e">
        <f t="shared" si="28"/>
        <v>#N/A</v>
      </c>
      <c r="AZ62" s="3" t="e">
        <f t="shared" si="28"/>
        <v>#N/A</v>
      </c>
      <c r="BA62" s="3" t="e">
        <f t="shared" si="28"/>
        <v>#N/A</v>
      </c>
      <c r="BB62" s="3" t="e">
        <f t="shared" si="28"/>
        <v>#N/A</v>
      </c>
      <c r="BC62" s="3" t="e">
        <f t="shared" si="28"/>
        <v>#N/A</v>
      </c>
      <c r="BD62" s="3" t="e">
        <f t="shared" si="28"/>
        <v>#N/A</v>
      </c>
      <c r="BE62" s="3" t="e">
        <f t="shared" si="28"/>
        <v>#N/A</v>
      </c>
      <c r="BF62" s="3" t="e">
        <f t="shared" si="28"/>
        <v>#N/A</v>
      </c>
      <c r="BG62" s="3" t="e">
        <f t="shared" si="28"/>
        <v>#N/A</v>
      </c>
      <c r="BH62" s="3" t="e">
        <f t="shared" si="28"/>
        <v>#N/A</v>
      </c>
      <c r="BI62" s="3" t="e">
        <f t="shared" si="28"/>
        <v>#N/A</v>
      </c>
      <c r="BJ62" s="3" t="e">
        <f t="shared" si="28"/>
        <v>#N/A</v>
      </c>
      <c r="BK62" s="3" t="e">
        <f t="shared" si="28"/>
        <v>#N/A</v>
      </c>
      <c r="BL62" s="3" t="e">
        <f t="shared" si="28"/>
        <v>#N/A</v>
      </c>
      <c r="BM62" s="3" t="e">
        <f t="shared" si="28"/>
        <v>#N/A</v>
      </c>
      <c r="BN62" s="3" t="e">
        <f t="shared" si="28"/>
        <v>#N/A</v>
      </c>
      <c r="BO62" s="3" t="e">
        <f t="shared" si="28"/>
        <v>#N/A</v>
      </c>
      <c r="BP62" s="3" t="e">
        <f t="shared" si="28"/>
        <v>#N/A</v>
      </c>
      <c r="BQ62" s="3" t="e">
        <f t="shared" si="28"/>
        <v>#N/A</v>
      </c>
    </row>
    <row r="63" spans="1:69" outlineLevel="1"/>
    <row r="64" spans="1:69" outlineLevel="1"/>
    <row r="65" spans="1:69" outlineLevel="1">
      <c r="B65" s="25" t="s">
        <v>54</v>
      </c>
    </row>
    <row r="66" spans="1:69" outlineLevel="2">
      <c r="E66" s="5" t="str">
        <f t="shared" ref="E66:BQ66" si="29" xml:space="preserve">  E$28</f>
        <v>Period number</v>
      </c>
      <c r="F66" s="5">
        <f t="shared" si="29"/>
        <v>0</v>
      </c>
      <c r="G66" s="5" t="str">
        <f t="shared" si="29"/>
        <v>Counter</v>
      </c>
      <c r="H66" s="5">
        <f t="shared" si="29"/>
        <v>0</v>
      </c>
      <c r="I66" s="5">
        <f t="shared" si="29"/>
        <v>0</v>
      </c>
      <c r="J66" s="5">
        <f t="shared" si="29"/>
        <v>1</v>
      </c>
      <c r="K66" s="5">
        <f t="shared" si="29"/>
        <v>2</v>
      </c>
      <c r="L66" s="5">
        <f t="shared" si="29"/>
        <v>3</v>
      </c>
      <c r="M66" s="5">
        <f t="shared" si="29"/>
        <v>4</v>
      </c>
      <c r="N66" s="5">
        <f t="shared" si="29"/>
        <v>5</v>
      </c>
      <c r="O66" s="5">
        <f t="shared" si="29"/>
        <v>6</v>
      </c>
      <c r="P66" s="5">
        <f t="shared" si="29"/>
        <v>7</v>
      </c>
      <c r="Q66" s="5">
        <f t="shared" si="29"/>
        <v>8</v>
      </c>
      <c r="R66" s="5">
        <f t="shared" si="29"/>
        <v>9</v>
      </c>
      <c r="S66" s="5">
        <f t="shared" si="29"/>
        <v>10</v>
      </c>
      <c r="T66" s="5">
        <f t="shared" si="29"/>
        <v>11</v>
      </c>
      <c r="U66" s="5">
        <f t="shared" si="29"/>
        <v>12</v>
      </c>
      <c r="V66" s="5">
        <f t="shared" si="29"/>
        <v>13</v>
      </c>
      <c r="W66" s="5">
        <f t="shared" si="29"/>
        <v>14</v>
      </c>
      <c r="X66" s="5">
        <f t="shared" si="29"/>
        <v>15</v>
      </c>
      <c r="Y66" s="5">
        <f t="shared" si="29"/>
        <v>16</v>
      </c>
      <c r="Z66" s="5">
        <f t="shared" si="29"/>
        <v>17</v>
      </c>
      <c r="AA66" s="5">
        <f t="shared" si="29"/>
        <v>18</v>
      </c>
      <c r="AB66" s="5">
        <f t="shared" si="29"/>
        <v>19</v>
      </c>
      <c r="AC66" s="5">
        <f t="shared" si="29"/>
        <v>20</v>
      </c>
      <c r="AD66" s="5">
        <f t="shared" si="29"/>
        <v>21</v>
      </c>
      <c r="AE66" s="5">
        <f t="shared" si="29"/>
        <v>22</v>
      </c>
      <c r="AF66" s="5">
        <f t="shared" si="29"/>
        <v>23</v>
      </c>
      <c r="AG66" s="5">
        <f t="shared" si="29"/>
        <v>24</v>
      </c>
      <c r="AH66" s="5">
        <f t="shared" si="29"/>
        <v>25</v>
      </c>
      <c r="AI66" s="5">
        <f t="shared" si="29"/>
        <v>26</v>
      </c>
      <c r="AJ66" s="5">
        <f t="shared" si="29"/>
        <v>27</v>
      </c>
      <c r="AK66" s="5">
        <f t="shared" si="29"/>
        <v>28</v>
      </c>
      <c r="AL66" s="5">
        <f t="shared" si="29"/>
        <v>29</v>
      </c>
      <c r="AM66" s="5">
        <f t="shared" si="29"/>
        <v>30</v>
      </c>
      <c r="AN66" s="5">
        <f t="shared" si="29"/>
        <v>31</v>
      </c>
      <c r="AO66" s="5">
        <f t="shared" si="29"/>
        <v>32</v>
      </c>
      <c r="AP66" s="5">
        <f t="shared" si="29"/>
        <v>33</v>
      </c>
      <c r="AQ66" s="5">
        <f t="shared" si="29"/>
        <v>34</v>
      </c>
      <c r="AR66" s="5">
        <f t="shared" si="29"/>
        <v>35</v>
      </c>
      <c r="AS66" s="5">
        <f t="shared" si="29"/>
        <v>36</v>
      </c>
      <c r="AT66" s="5">
        <f t="shared" si="29"/>
        <v>37</v>
      </c>
      <c r="AU66" s="5">
        <f t="shared" si="29"/>
        <v>38</v>
      </c>
      <c r="AV66" s="5">
        <f t="shared" si="29"/>
        <v>39</v>
      </c>
      <c r="AW66" s="5">
        <f t="shared" si="29"/>
        <v>40</v>
      </c>
      <c r="AX66" s="5">
        <f t="shared" si="29"/>
        <v>41</v>
      </c>
      <c r="AY66" s="5">
        <f t="shared" si="29"/>
        <v>42</v>
      </c>
      <c r="AZ66" s="5">
        <f t="shared" si="29"/>
        <v>43</v>
      </c>
      <c r="BA66" s="5">
        <f t="shared" si="29"/>
        <v>44</v>
      </c>
      <c r="BB66" s="5">
        <f t="shared" si="29"/>
        <v>45</v>
      </c>
      <c r="BC66" s="5">
        <f t="shared" si="29"/>
        <v>46</v>
      </c>
      <c r="BD66" s="5">
        <f t="shared" si="29"/>
        <v>47</v>
      </c>
      <c r="BE66" s="5">
        <f t="shared" si="29"/>
        <v>48</v>
      </c>
      <c r="BF66" s="5">
        <f t="shared" si="29"/>
        <v>49</v>
      </c>
      <c r="BG66" s="5">
        <f t="shared" si="29"/>
        <v>50</v>
      </c>
      <c r="BH66" s="5">
        <f t="shared" si="29"/>
        <v>51</v>
      </c>
      <c r="BI66" s="5">
        <f t="shared" si="29"/>
        <v>52</v>
      </c>
      <c r="BJ66" s="5">
        <f t="shared" si="29"/>
        <v>53</v>
      </c>
      <c r="BK66" s="5">
        <f t="shared" si="29"/>
        <v>54</v>
      </c>
      <c r="BL66" s="5">
        <f t="shared" si="29"/>
        <v>55</v>
      </c>
      <c r="BM66" s="5">
        <f t="shared" si="29"/>
        <v>56</v>
      </c>
      <c r="BN66" s="5">
        <f t="shared" si="29"/>
        <v>57</v>
      </c>
      <c r="BO66" s="5">
        <f t="shared" si="29"/>
        <v>58</v>
      </c>
      <c r="BP66" s="5">
        <f t="shared" si="29"/>
        <v>59</v>
      </c>
      <c r="BQ66" s="5">
        <f t="shared" si="29"/>
        <v>60</v>
      </c>
    </row>
    <row r="67" spans="1:69" outlineLevel="2">
      <c r="E67" s="5" t="str">
        <f t="shared" ref="E67:BQ67" si="30" xml:space="preserve">  E$321</f>
        <v>Month to Year (financial year) : period end flag</v>
      </c>
      <c r="F67" s="5">
        <f t="shared" si="30"/>
        <v>0</v>
      </c>
      <c r="G67" s="5" t="str">
        <f t="shared" si="30"/>
        <v>counter</v>
      </c>
      <c r="H67" s="5">
        <f t="shared" si="30"/>
        <v>0</v>
      </c>
      <c r="I67" s="5">
        <f t="shared" si="30"/>
        <v>0</v>
      </c>
      <c r="J67" s="5">
        <f t="shared" si="30"/>
        <v>0</v>
      </c>
      <c r="K67" s="5">
        <f t="shared" si="30"/>
        <v>0</v>
      </c>
      <c r="L67" s="5">
        <f t="shared" si="30"/>
        <v>0</v>
      </c>
      <c r="M67" s="5">
        <f t="shared" si="30"/>
        <v>0</v>
      </c>
      <c r="N67" s="5">
        <f t="shared" si="30"/>
        <v>0</v>
      </c>
      <c r="O67" s="5">
        <f t="shared" si="30"/>
        <v>0</v>
      </c>
      <c r="P67" s="5">
        <f t="shared" si="30"/>
        <v>0</v>
      </c>
      <c r="Q67" s="5">
        <f t="shared" si="30"/>
        <v>0</v>
      </c>
      <c r="R67" s="5">
        <f t="shared" si="30"/>
        <v>0</v>
      </c>
      <c r="S67" s="5">
        <f t="shared" si="30"/>
        <v>0</v>
      </c>
      <c r="T67" s="5">
        <f t="shared" si="30"/>
        <v>0</v>
      </c>
      <c r="U67" s="5">
        <f t="shared" si="30"/>
        <v>1</v>
      </c>
      <c r="V67" s="5">
        <f t="shared" si="30"/>
        <v>0</v>
      </c>
      <c r="W67" s="5">
        <f t="shared" si="30"/>
        <v>0</v>
      </c>
      <c r="X67" s="5">
        <f t="shared" si="30"/>
        <v>0</v>
      </c>
      <c r="Y67" s="5">
        <f t="shared" si="30"/>
        <v>0</v>
      </c>
      <c r="Z67" s="5">
        <f t="shared" si="30"/>
        <v>0</v>
      </c>
      <c r="AA67" s="5">
        <f t="shared" si="30"/>
        <v>0</v>
      </c>
      <c r="AB67" s="5">
        <f t="shared" si="30"/>
        <v>0</v>
      </c>
      <c r="AC67" s="5">
        <f t="shared" si="30"/>
        <v>0</v>
      </c>
      <c r="AD67" s="5">
        <f t="shared" si="30"/>
        <v>0</v>
      </c>
      <c r="AE67" s="5">
        <f t="shared" si="30"/>
        <v>0</v>
      </c>
      <c r="AF67" s="5">
        <f t="shared" si="30"/>
        <v>0</v>
      </c>
      <c r="AG67" s="5">
        <f t="shared" si="30"/>
        <v>2</v>
      </c>
      <c r="AH67" s="5">
        <f t="shared" si="30"/>
        <v>0</v>
      </c>
      <c r="AI67" s="5">
        <f t="shared" si="30"/>
        <v>0</v>
      </c>
      <c r="AJ67" s="5">
        <f t="shared" si="30"/>
        <v>0</v>
      </c>
      <c r="AK67" s="5">
        <f t="shared" si="30"/>
        <v>0</v>
      </c>
      <c r="AL67" s="5">
        <f t="shared" si="30"/>
        <v>0</v>
      </c>
      <c r="AM67" s="5">
        <f t="shared" si="30"/>
        <v>0</v>
      </c>
      <c r="AN67" s="5">
        <f t="shared" si="30"/>
        <v>0</v>
      </c>
      <c r="AO67" s="5">
        <f t="shared" si="30"/>
        <v>0</v>
      </c>
      <c r="AP67" s="5">
        <f t="shared" si="30"/>
        <v>0</v>
      </c>
      <c r="AQ67" s="5">
        <f t="shared" si="30"/>
        <v>0</v>
      </c>
      <c r="AR67" s="5">
        <f t="shared" si="30"/>
        <v>0</v>
      </c>
      <c r="AS67" s="5">
        <f t="shared" si="30"/>
        <v>3</v>
      </c>
      <c r="AT67" s="5">
        <f t="shared" si="30"/>
        <v>0</v>
      </c>
      <c r="AU67" s="5">
        <f t="shared" si="30"/>
        <v>0</v>
      </c>
      <c r="AV67" s="5">
        <f t="shared" si="30"/>
        <v>0</v>
      </c>
      <c r="AW67" s="5">
        <f t="shared" si="30"/>
        <v>0</v>
      </c>
      <c r="AX67" s="5">
        <f t="shared" si="30"/>
        <v>0</v>
      </c>
      <c r="AY67" s="5">
        <f t="shared" si="30"/>
        <v>0</v>
      </c>
      <c r="AZ67" s="5">
        <f t="shared" si="30"/>
        <v>0</v>
      </c>
      <c r="BA67" s="5">
        <f t="shared" si="30"/>
        <v>0</v>
      </c>
      <c r="BB67" s="5">
        <f t="shared" si="30"/>
        <v>0</v>
      </c>
      <c r="BC67" s="5">
        <f t="shared" si="30"/>
        <v>0</v>
      </c>
      <c r="BD67" s="5">
        <f t="shared" si="30"/>
        <v>0</v>
      </c>
      <c r="BE67" s="5">
        <f t="shared" si="30"/>
        <v>4</v>
      </c>
      <c r="BF67" s="5">
        <f t="shared" si="30"/>
        <v>0</v>
      </c>
      <c r="BG67" s="5">
        <f t="shared" si="30"/>
        <v>0</v>
      </c>
      <c r="BH67" s="5">
        <f t="shared" si="30"/>
        <v>0</v>
      </c>
      <c r="BI67" s="5">
        <f t="shared" si="30"/>
        <v>0</v>
      </c>
      <c r="BJ67" s="5">
        <f t="shared" si="30"/>
        <v>0</v>
      </c>
      <c r="BK67" s="5">
        <f t="shared" si="30"/>
        <v>0</v>
      </c>
      <c r="BL67" s="5">
        <f t="shared" si="30"/>
        <v>0</v>
      </c>
      <c r="BM67" s="5">
        <f t="shared" si="30"/>
        <v>0</v>
      </c>
      <c r="BN67" s="5">
        <f t="shared" si="30"/>
        <v>0</v>
      </c>
      <c r="BO67" s="5">
        <f t="shared" si="30"/>
        <v>0</v>
      </c>
      <c r="BP67" s="5">
        <f t="shared" si="30"/>
        <v>0</v>
      </c>
      <c r="BQ67" s="5">
        <f t="shared" si="30"/>
        <v>5</v>
      </c>
    </row>
    <row r="68" spans="1:69" outlineLevel="2">
      <c r="A68" s="34"/>
      <c r="B68" s="34"/>
      <c r="C68" s="64"/>
      <c r="D68" s="65"/>
      <c r="E68" s="21" t="s">
        <v>54</v>
      </c>
      <c r="F68" s="21"/>
      <c r="G68" s="21" t="s">
        <v>285</v>
      </c>
      <c r="H68" s="21"/>
      <c r="I68" s="21"/>
      <c r="J68" s="14">
        <f t="shared" ref="J68:BQ68" si="31" xml:space="preserve">  INDEX( $J66:$BQ66, MATCH( J66, $J67:$BQ67, 0 ) )</f>
        <v>12</v>
      </c>
      <c r="K68" s="14">
        <f t="shared" si="31"/>
        <v>24</v>
      </c>
      <c r="L68" s="14">
        <f t="shared" si="31"/>
        <v>36</v>
      </c>
      <c r="M68" s="14">
        <f t="shared" si="31"/>
        <v>48</v>
      </c>
      <c r="N68" s="14">
        <f t="shared" si="31"/>
        <v>60</v>
      </c>
      <c r="O68" s="14" t="e">
        <f t="shared" si="31"/>
        <v>#N/A</v>
      </c>
      <c r="P68" s="14" t="e">
        <f t="shared" si="31"/>
        <v>#N/A</v>
      </c>
      <c r="Q68" s="14" t="e">
        <f t="shared" si="31"/>
        <v>#N/A</v>
      </c>
      <c r="R68" s="14" t="e">
        <f t="shared" si="31"/>
        <v>#N/A</v>
      </c>
      <c r="S68" s="14" t="e">
        <f t="shared" si="31"/>
        <v>#N/A</v>
      </c>
      <c r="T68" s="14" t="e">
        <f t="shared" si="31"/>
        <v>#N/A</v>
      </c>
      <c r="U68" s="14" t="e">
        <f t="shared" si="31"/>
        <v>#N/A</v>
      </c>
      <c r="V68" s="14" t="e">
        <f t="shared" si="31"/>
        <v>#N/A</v>
      </c>
      <c r="W68" s="14" t="e">
        <f t="shared" si="31"/>
        <v>#N/A</v>
      </c>
      <c r="X68" s="14" t="e">
        <f t="shared" si="31"/>
        <v>#N/A</v>
      </c>
      <c r="Y68" s="14" t="e">
        <f t="shared" si="31"/>
        <v>#N/A</v>
      </c>
      <c r="Z68" s="14" t="e">
        <f t="shared" si="31"/>
        <v>#N/A</v>
      </c>
      <c r="AA68" s="14" t="e">
        <f t="shared" si="31"/>
        <v>#N/A</v>
      </c>
      <c r="AB68" s="14" t="e">
        <f t="shared" si="31"/>
        <v>#N/A</v>
      </c>
      <c r="AC68" s="14" t="e">
        <f t="shared" si="31"/>
        <v>#N/A</v>
      </c>
      <c r="AD68" s="14" t="e">
        <f t="shared" si="31"/>
        <v>#N/A</v>
      </c>
      <c r="AE68" s="14" t="e">
        <f t="shared" si="31"/>
        <v>#N/A</v>
      </c>
      <c r="AF68" s="14" t="e">
        <f t="shared" si="31"/>
        <v>#N/A</v>
      </c>
      <c r="AG68" s="14" t="e">
        <f t="shared" si="31"/>
        <v>#N/A</v>
      </c>
      <c r="AH68" s="14" t="e">
        <f t="shared" si="31"/>
        <v>#N/A</v>
      </c>
      <c r="AI68" s="14" t="e">
        <f t="shared" si="31"/>
        <v>#N/A</v>
      </c>
      <c r="AJ68" s="14" t="e">
        <f t="shared" si="31"/>
        <v>#N/A</v>
      </c>
      <c r="AK68" s="14" t="e">
        <f t="shared" si="31"/>
        <v>#N/A</v>
      </c>
      <c r="AL68" s="14" t="e">
        <f t="shared" si="31"/>
        <v>#N/A</v>
      </c>
      <c r="AM68" s="14" t="e">
        <f t="shared" si="31"/>
        <v>#N/A</v>
      </c>
      <c r="AN68" s="14" t="e">
        <f t="shared" si="31"/>
        <v>#N/A</v>
      </c>
      <c r="AO68" s="14" t="e">
        <f t="shared" si="31"/>
        <v>#N/A</v>
      </c>
      <c r="AP68" s="14" t="e">
        <f t="shared" si="31"/>
        <v>#N/A</v>
      </c>
      <c r="AQ68" s="14" t="e">
        <f t="shared" si="31"/>
        <v>#N/A</v>
      </c>
      <c r="AR68" s="14" t="e">
        <f t="shared" si="31"/>
        <v>#N/A</v>
      </c>
      <c r="AS68" s="14" t="e">
        <f t="shared" si="31"/>
        <v>#N/A</v>
      </c>
      <c r="AT68" s="14" t="e">
        <f t="shared" si="31"/>
        <v>#N/A</v>
      </c>
      <c r="AU68" s="14" t="e">
        <f t="shared" si="31"/>
        <v>#N/A</v>
      </c>
      <c r="AV68" s="14" t="e">
        <f t="shared" si="31"/>
        <v>#N/A</v>
      </c>
      <c r="AW68" s="14" t="e">
        <f t="shared" si="31"/>
        <v>#N/A</v>
      </c>
      <c r="AX68" s="14" t="e">
        <f t="shared" si="31"/>
        <v>#N/A</v>
      </c>
      <c r="AY68" s="14" t="e">
        <f t="shared" si="31"/>
        <v>#N/A</v>
      </c>
      <c r="AZ68" s="14" t="e">
        <f t="shared" si="31"/>
        <v>#N/A</v>
      </c>
      <c r="BA68" s="14" t="e">
        <f t="shared" si="31"/>
        <v>#N/A</v>
      </c>
      <c r="BB68" s="14" t="e">
        <f t="shared" si="31"/>
        <v>#N/A</v>
      </c>
      <c r="BC68" s="14" t="e">
        <f t="shared" si="31"/>
        <v>#N/A</v>
      </c>
      <c r="BD68" s="14" t="e">
        <f t="shared" si="31"/>
        <v>#N/A</v>
      </c>
      <c r="BE68" s="14" t="e">
        <f t="shared" si="31"/>
        <v>#N/A</v>
      </c>
      <c r="BF68" s="14" t="e">
        <f t="shared" si="31"/>
        <v>#N/A</v>
      </c>
      <c r="BG68" s="14" t="e">
        <f t="shared" si="31"/>
        <v>#N/A</v>
      </c>
      <c r="BH68" s="14" t="e">
        <f t="shared" si="31"/>
        <v>#N/A</v>
      </c>
      <c r="BI68" s="14" t="e">
        <f t="shared" si="31"/>
        <v>#N/A</v>
      </c>
      <c r="BJ68" s="14" t="e">
        <f t="shared" si="31"/>
        <v>#N/A</v>
      </c>
      <c r="BK68" s="14" t="e">
        <f t="shared" si="31"/>
        <v>#N/A</v>
      </c>
      <c r="BL68" s="14" t="e">
        <f t="shared" si="31"/>
        <v>#N/A</v>
      </c>
      <c r="BM68" s="14" t="e">
        <f t="shared" si="31"/>
        <v>#N/A</v>
      </c>
      <c r="BN68" s="14" t="e">
        <f t="shared" si="31"/>
        <v>#N/A</v>
      </c>
      <c r="BO68" s="14" t="e">
        <f t="shared" si="31"/>
        <v>#N/A</v>
      </c>
      <c r="BP68" s="14" t="e">
        <f t="shared" si="31"/>
        <v>#N/A</v>
      </c>
      <c r="BQ68" s="14" t="e">
        <f t="shared" si="31"/>
        <v>#N/A</v>
      </c>
    </row>
    <row r="69" spans="1:69" outlineLevel="1"/>
    <row r="70" spans="1:69" outlineLevel="1"/>
    <row r="71" spans="1:69" outlineLevel="1">
      <c r="B71" s="25" t="s">
        <v>194</v>
      </c>
    </row>
    <row r="72" spans="1:69" outlineLevel="2">
      <c r="E72" s="8" t="str">
        <f t="shared" ref="E72:BQ72" si="32" xml:space="preserve">  E$19</f>
        <v>Model period end</v>
      </c>
      <c r="F72" s="8">
        <f t="shared" si="32"/>
        <v>0</v>
      </c>
      <c r="G72" s="8" t="str">
        <f t="shared" si="32"/>
        <v>date</v>
      </c>
      <c r="H72" s="8">
        <f t="shared" si="32"/>
        <v>0</v>
      </c>
      <c r="I72" s="8">
        <f t="shared" si="32"/>
        <v>0</v>
      </c>
      <c r="J72" s="8">
        <f t="shared" si="32"/>
        <v>45077</v>
      </c>
      <c r="K72" s="8">
        <f t="shared" si="32"/>
        <v>45107</v>
      </c>
      <c r="L72" s="8">
        <f t="shared" si="32"/>
        <v>45138</v>
      </c>
      <c r="M72" s="8">
        <f t="shared" si="32"/>
        <v>45169</v>
      </c>
      <c r="N72" s="8">
        <f t="shared" si="32"/>
        <v>45199</v>
      </c>
      <c r="O72" s="8">
        <f t="shared" si="32"/>
        <v>45230</v>
      </c>
      <c r="P72" s="8">
        <f t="shared" si="32"/>
        <v>45260</v>
      </c>
      <c r="Q72" s="8">
        <f t="shared" si="32"/>
        <v>45291</v>
      </c>
      <c r="R72" s="8">
        <f t="shared" si="32"/>
        <v>45322</v>
      </c>
      <c r="S72" s="8">
        <f t="shared" si="32"/>
        <v>45351</v>
      </c>
      <c r="T72" s="8">
        <f t="shared" si="32"/>
        <v>45382</v>
      </c>
      <c r="U72" s="8">
        <f t="shared" si="32"/>
        <v>45412</v>
      </c>
      <c r="V72" s="8">
        <f t="shared" si="32"/>
        <v>45443</v>
      </c>
      <c r="W72" s="8">
        <f t="shared" si="32"/>
        <v>45473</v>
      </c>
      <c r="X72" s="8">
        <f t="shared" si="32"/>
        <v>45504</v>
      </c>
      <c r="Y72" s="8">
        <f t="shared" si="32"/>
        <v>45535</v>
      </c>
      <c r="Z72" s="8">
        <f t="shared" si="32"/>
        <v>45565</v>
      </c>
      <c r="AA72" s="8">
        <f t="shared" si="32"/>
        <v>45596</v>
      </c>
      <c r="AB72" s="8">
        <f t="shared" si="32"/>
        <v>45626</v>
      </c>
      <c r="AC72" s="8">
        <f t="shared" si="32"/>
        <v>45657</v>
      </c>
      <c r="AD72" s="8">
        <f t="shared" si="32"/>
        <v>45688</v>
      </c>
      <c r="AE72" s="8">
        <f t="shared" si="32"/>
        <v>45716</v>
      </c>
      <c r="AF72" s="8">
        <f t="shared" si="32"/>
        <v>45747</v>
      </c>
      <c r="AG72" s="8">
        <f t="shared" si="32"/>
        <v>45777</v>
      </c>
      <c r="AH72" s="8">
        <f t="shared" si="32"/>
        <v>45808</v>
      </c>
      <c r="AI72" s="8">
        <f t="shared" si="32"/>
        <v>45838</v>
      </c>
      <c r="AJ72" s="8">
        <f t="shared" si="32"/>
        <v>45869</v>
      </c>
      <c r="AK72" s="8">
        <f t="shared" si="32"/>
        <v>45900</v>
      </c>
      <c r="AL72" s="8">
        <f t="shared" si="32"/>
        <v>45930</v>
      </c>
      <c r="AM72" s="8">
        <f t="shared" si="32"/>
        <v>45961</v>
      </c>
      <c r="AN72" s="8">
        <f t="shared" si="32"/>
        <v>45991</v>
      </c>
      <c r="AO72" s="8">
        <f t="shared" si="32"/>
        <v>46022</v>
      </c>
      <c r="AP72" s="8">
        <f t="shared" si="32"/>
        <v>46053</v>
      </c>
      <c r="AQ72" s="8">
        <f t="shared" si="32"/>
        <v>46081</v>
      </c>
      <c r="AR72" s="8">
        <f t="shared" si="32"/>
        <v>46112</v>
      </c>
      <c r="AS72" s="8">
        <f t="shared" si="32"/>
        <v>46142</v>
      </c>
      <c r="AT72" s="8">
        <f t="shared" si="32"/>
        <v>46173</v>
      </c>
      <c r="AU72" s="8">
        <f t="shared" si="32"/>
        <v>46203</v>
      </c>
      <c r="AV72" s="8">
        <f t="shared" si="32"/>
        <v>46234</v>
      </c>
      <c r="AW72" s="8">
        <f t="shared" si="32"/>
        <v>46265</v>
      </c>
      <c r="AX72" s="8">
        <f t="shared" si="32"/>
        <v>46295</v>
      </c>
      <c r="AY72" s="8">
        <f t="shared" si="32"/>
        <v>46326</v>
      </c>
      <c r="AZ72" s="8">
        <f t="shared" si="32"/>
        <v>46356</v>
      </c>
      <c r="BA72" s="8">
        <f t="shared" si="32"/>
        <v>46387</v>
      </c>
      <c r="BB72" s="8">
        <f t="shared" si="32"/>
        <v>46418</v>
      </c>
      <c r="BC72" s="8">
        <f t="shared" si="32"/>
        <v>46446</v>
      </c>
      <c r="BD72" s="8">
        <f t="shared" si="32"/>
        <v>46477</v>
      </c>
      <c r="BE72" s="8">
        <f t="shared" si="32"/>
        <v>46507</v>
      </c>
      <c r="BF72" s="8">
        <f t="shared" si="32"/>
        <v>46538</v>
      </c>
      <c r="BG72" s="8">
        <f t="shared" si="32"/>
        <v>46568</v>
      </c>
      <c r="BH72" s="8">
        <f t="shared" si="32"/>
        <v>46599</v>
      </c>
      <c r="BI72" s="8">
        <f t="shared" si="32"/>
        <v>46630</v>
      </c>
      <c r="BJ72" s="8">
        <f t="shared" si="32"/>
        <v>46660</v>
      </c>
      <c r="BK72" s="8">
        <f t="shared" si="32"/>
        <v>46691</v>
      </c>
      <c r="BL72" s="8">
        <f t="shared" si="32"/>
        <v>46721</v>
      </c>
      <c r="BM72" s="8">
        <f t="shared" si="32"/>
        <v>46752</v>
      </c>
      <c r="BN72" s="8">
        <f t="shared" si="32"/>
        <v>46783</v>
      </c>
      <c r="BO72" s="8">
        <f t="shared" si="32"/>
        <v>46812</v>
      </c>
      <c r="BP72" s="8">
        <f t="shared" si="32"/>
        <v>46843</v>
      </c>
      <c r="BQ72" s="8">
        <f t="shared" si="32"/>
        <v>46873</v>
      </c>
    </row>
    <row r="73" spans="1:69" outlineLevel="2">
      <c r="E73" s="5" t="str">
        <f t="shared" ref="E73:BQ73" si="33" xml:space="preserve">  E$28</f>
        <v>Period number</v>
      </c>
      <c r="F73" s="5">
        <f t="shared" si="33"/>
        <v>0</v>
      </c>
      <c r="G73" s="5" t="str">
        <f t="shared" si="33"/>
        <v>Counter</v>
      </c>
      <c r="H73" s="5">
        <f t="shared" si="33"/>
        <v>0</v>
      </c>
      <c r="I73" s="5">
        <f t="shared" si="33"/>
        <v>0</v>
      </c>
      <c r="J73" s="5">
        <f t="shared" si="33"/>
        <v>1</v>
      </c>
      <c r="K73" s="5">
        <f t="shared" si="33"/>
        <v>2</v>
      </c>
      <c r="L73" s="5">
        <f t="shared" si="33"/>
        <v>3</v>
      </c>
      <c r="M73" s="5">
        <f t="shared" si="33"/>
        <v>4</v>
      </c>
      <c r="N73" s="5">
        <f t="shared" si="33"/>
        <v>5</v>
      </c>
      <c r="O73" s="5">
        <f t="shared" si="33"/>
        <v>6</v>
      </c>
      <c r="P73" s="5">
        <f t="shared" si="33"/>
        <v>7</v>
      </c>
      <c r="Q73" s="5">
        <f t="shared" si="33"/>
        <v>8</v>
      </c>
      <c r="R73" s="5">
        <f t="shared" si="33"/>
        <v>9</v>
      </c>
      <c r="S73" s="5">
        <f t="shared" si="33"/>
        <v>10</v>
      </c>
      <c r="T73" s="5">
        <f t="shared" si="33"/>
        <v>11</v>
      </c>
      <c r="U73" s="5">
        <f t="shared" si="33"/>
        <v>12</v>
      </c>
      <c r="V73" s="5">
        <f t="shared" si="33"/>
        <v>13</v>
      </c>
      <c r="W73" s="5">
        <f t="shared" si="33"/>
        <v>14</v>
      </c>
      <c r="X73" s="5">
        <f t="shared" si="33"/>
        <v>15</v>
      </c>
      <c r="Y73" s="5">
        <f t="shared" si="33"/>
        <v>16</v>
      </c>
      <c r="Z73" s="5">
        <f t="shared" si="33"/>
        <v>17</v>
      </c>
      <c r="AA73" s="5">
        <f t="shared" si="33"/>
        <v>18</v>
      </c>
      <c r="AB73" s="5">
        <f t="shared" si="33"/>
        <v>19</v>
      </c>
      <c r="AC73" s="5">
        <f t="shared" si="33"/>
        <v>20</v>
      </c>
      <c r="AD73" s="5">
        <f t="shared" si="33"/>
        <v>21</v>
      </c>
      <c r="AE73" s="5">
        <f t="shared" si="33"/>
        <v>22</v>
      </c>
      <c r="AF73" s="5">
        <f t="shared" si="33"/>
        <v>23</v>
      </c>
      <c r="AG73" s="5">
        <f t="shared" si="33"/>
        <v>24</v>
      </c>
      <c r="AH73" s="5">
        <f t="shared" si="33"/>
        <v>25</v>
      </c>
      <c r="AI73" s="5">
        <f t="shared" si="33"/>
        <v>26</v>
      </c>
      <c r="AJ73" s="5">
        <f t="shared" si="33"/>
        <v>27</v>
      </c>
      <c r="AK73" s="5">
        <f t="shared" si="33"/>
        <v>28</v>
      </c>
      <c r="AL73" s="5">
        <f t="shared" si="33"/>
        <v>29</v>
      </c>
      <c r="AM73" s="5">
        <f t="shared" si="33"/>
        <v>30</v>
      </c>
      <c r="AN73" s="5">
        <f t="shared" si="33"/>
        <v>31</v>
      </c>
      <c r="AO73" s="5">
        <f t="shared" si="33"/>
        <v>32</v>
      </c>
      <c r="AP73" s="5">
        <f t="shared" si="33"/>
        <v>33</v>
      </c>
      <c r="AQ73" s="5">
        <f t="shared" si="33"/>
        <v>34</v>
      </c>
      <c r="AR73" s="5">
        <f t="shared" si="33"/>
        <v>35</v>
      </c>
      <c r="AS73" s="5">
        <f t="shared" si="33"/>
        <v>36</v>
      </c>
      <c r="AT73" s="5">
        <f t="shared" si="33"/>
        <v>37</v>
      </c>
      <c r="AU73" s="5">
        <f t="shared" si="33"/>
        <v>38</v>
      </c>
      <c r="AV73" s="5">
        <f t="shared" si="33"/>
        <v>39</v>
      </c>
      <c r="AW73" s="5">
        <f t="shared" si="33"/>
        <v>40</v>
      </c>
      <c r="AX73" s="5">
        <f t="shared" si="33"/>
        <v>41</v>
      </c>
      <c r="AY73" s="5">
        <f t="shared" si="33"/>
        <v>42</v>
      </c>
      <c r="AZ73" s="5">
        <f t="shared" si="33"/>
        <v>43</v>
      </c>
      <c r="BA73" s="5">
        <f t="shared" si="33"/>
        <v>44</v>
      </c>
      <c r="BB73" s="5">
        <f t="shared" si="33"/>
        <v>45</v>
      </c>
      <c r="BC73" s="5">
        <f t="shared" si="33"/>
        <v>46</v>
      </c>
      <c r="BD73" s="5">
        <f t="shared" si="33"/>
        <v>47</v>
      </c>
      <c r="BE73" s="5">
        <f t="shared" si="33"/>
        <v>48</v>
      </c>
      <c r="BF73" s="5">
        <f t="shared" si="33"/>
        <v>49</v>
      </c>
      <c r="BG73" s="5">
        <f t="shared" si="33"/>
        <v>50</v>
      </c>
      <c r="BH73" s="5">
        <f t="shared" si="33"/>
        <v>51</v>
      </c>
      <c r="BI73" s="5">
        <f t="shared" si="33"/>
        <v>52</v>
      </c>
      <c r="BJ73" s="5">
        <f t="shared" si="33"/>
        <v>53</v>
      </c>
      <c r="BK73" s="5">
        <f t="shared" si="33"/>
        <v>54</v>
      </c>
      <c r="BL73" s="5">
        <f t="shared" si="33"/>
        <v>55</v>
      </c>
      <c r="BM73" s="5">
        <f t="shared" si="33"/>
        <v>56</v>
      </c>
      <c r="BN73" s="5">
        <f t="shared" si="33"/>
        <v>57</v>
      </c>
      <c r="BO73" s="5">
        <f t="shared" si="33"/>
        <v>58</v>
      </c>
      <c r="BP73" s="5">
        <f t="shared" si="33"/>
        <v>59</v>
      </c>
      <c r="BQ73" s="5">
        <f t="shared" si="33"/>
        <v>60</v>
      </c>
    </row>
    <row r="74" spans="1:69" outlineLevel="2">
      <c r="E74" s="5" t="str">
        <f t="shared" ref="E74:BQ74" si="34" xml:space="preserve">  E$337</f>
        <v>Month to Quarter : period end flag</v>
      </c>
      <c r="F74" s="5">
        <f t="shared" si="34"/>
        <v>0</v>
      </c>
      <c r="G74" s="5" t="str">
        <f t="shared" si="34"/>
        <v>counter</v>
      </c>
      <c r="H74" s="5">
        <f t="shared" si="34"/>
        <v>0</v>
      </c>
      <c r="I74" s="5">
        <f t="shared" si="34"/>
        <v>0</v>
      </c>
      <c r="J74" s="5">
        <f t="shared" si="34"/>
        <v>0</v>
      </c>
      <c r="K74" s="5">
        <f t="shared" si="34"/>
        <v>0</v>
      </c>
      <c r="L74" s="5">
        <f t="shared" si="34"/>
        <v>1</v>
      </c>
      <c r="M74" s="5">
        <f t="shared" si="34"/>
        <v>0</v>
      </c>
      <c r="N74" s="5">
        <f t="shared" si="34"/>
        <v>0</v>
      </c>
      <c r="O74" s="5">
        <f t="shared" si="34"/>
        <v>2</v>
      </c>
      <c r="P74" s="5">
        <f t="shared" si="34"/>
        <v>0</v>
      </c>
      <c r="Q74" s="5">
        <f t="shared" si="34"/>
        <v>0</v>
      </c>
      <c r="R74" s="5">
        <f t="shared" si="34"/>
        <v>3</v>
      </c>
      <c r="S74" s="5">
        <f t="shared" si="34"/>
        <v>0</v>
      </c>
      <c r="T74" s="5">
        <f t="shared" si="34"/>
        <v>0</v>
      </c>
      <c r="U74" s="5">
        <f t="shared" si="34"/>
        <v>4</v>
      </c>
      <c r="V74" s="5">
        <f t="shared" si="34"/>
        <v>0</v>
      </c>
      <c r="W74" s="5">
        <f t="shared" si="34"/>
        <v>0</v>
      </c>
      <c r="X74" s="5">
        <f t="shared" si="34"/>
        <v>5</v>
      </c>
      <c r="Y74" s="5">
        <f t="shared" si="34"/>
        <v>0</v>
      </c>
      <c r="Z74" s="5">
        <f t="shared" si="34"/>
        <v>0</v>
      </c>
      <c r="AA74" s="5">
        <f t="shared" si="34"/>
        <v>6</v>
      </c>
      <c r="AB74" s="5">
        <f t="shared" si="34"/>
        <v>0</v>
      </c>
      <c r="AC74" s="5">
        <f t="shared" si="34"/>
        <v>0</v>
      </c>
      <c r="AD74" s="5">
        <f t="shared" si="34"/>
        <v>7</v>
      </c>
      <c r="AE74" s="5">
        <f t="shared" si="34"/>
        <v>0</v>
      </c>
      <c r="AF74" s="5">
        <f t="shared" si="34"/>
        <v>0</v>
      </c>
      <c r="AG74" s="5">
        <f t="shared" si="34"/>
        <v>8</v>
      </c>
      <c r="AH74" s="5">
        <f t="shared" si="34"/>
        <v>0</v>
      </c>
      <c r="AI74" s="5">
        <f t="shared" si="34"/>
        <v>0</v>
      </c>
      <c r="AJ74" s="5">
        <f t="shared" si="34"/>
        <v>9</v>
      </c>
      <c r="AK74" s="5">
        <f t="shared" si="34"/>
        <v>0</v>
      </c>
      <c r="AL74" s="5">
        <f t="shared" si="34"/>
        <v>0</v>
      </c>
      <c r="AM74" s="5">
        <f t="shared" si="34"/>
        <v>10</v>
      </c>
      <c r="AN74" s="5">
        <f t="shared" si="34"/>
        <v>0</v>
      </c>
      <c r="AO74" s="5">
        <f t="shared" si="34"/>
        <v>0</v>
      </c>
      <c r="AP74" s="5">
        <f t="shared" si="34"/>
        <v>11</v>
      </c>
      <c r="AQ74" s="5">
        <f t="shared" si="34"/>
        <v>0</v>
      </c>
      <c r="AR74" s="5">
        <f t="shared" si="34"/>
        <v>0</v>
      </c>
      <c r="AS74" s="5">
        <f t="shared" si="34"/>
        <v>12</v>
      </c>
      <c r="AT74" s="5">
        <f t="shared" si="34"/>
        <v>0</v>
      </c>
      <c r="AU74" s="5">
        <f t="shared" si="34"/>
        <v>0</v>
      </c>
      <c r="AV74" s="5">
        <f t="shared" si="34"/>
        <v>13</v>
      </c>
      <c r="AW74" s="5">
        <f t="shared" si="34"/>
        <v>0</v>
      </c>
      <c r="AX74" s="5">
        <f t="shared" si="34"/>
        <v>0</v>
      </c>
      <c r="AY74" s="5">
        <f t="shared" si="34"/>
        <v>14</v>
      </c>
      <c r="AZ74" s="5">
        <f t="shared" si="34"/>
        <v>0</v>
      </c>
      <c r="BA74" s="5">
        <f t="shared" si="34"/>
        <v>0</v>
      </c>
      <c r="BB74" s="5">
        <f t="shared" si="34"/>
        <v>15</v>
      </c>
      <c r="BC74" s="5">
        <f t="shared" si="34"/>
        <v>0</v>
      </c>
      <c r="BD74" s="5">
        <f t="shared" si="34"/>
        <v>0</v>
      </c>
      <c r="BE74" s="5">
        <f t="shared" si="34"/>
        <v>16</v>
      </c>
      <c r="BF74" s="5">
        <f t="shared" si="34"/>
        <v>0</v>
      </c>
      <c r="BG74" s="5">
        <f t="shared" si="34"/>
        <v>0</v>
      </c>
      <c r="BH74" s="5">
        <f t="shared" si="34"/>
        <v>17</v>
      </c>
      <c r="BI74" s="5">
        <f t="shared" si="34"/>
        <v>0</v>
      </c>
      <c r="BJ74" s="5">
        <f t="shared" si="34"/>
        <v>0</v>
      </c>
      <c r="BK74" s="5">
        <f t="shared" si="34"/>
        <v>18</v>
      </c>
      <c r="BL74" s="5">
        <f t="shared" si="34"/>
        <v>0</v>
      </c>
      <c r="BM74" s="5">
        <f t="shared" si="34"/>
        <v>0</v>
      </c>
      <c r="BN74" s="5">
        <f t="shared" si="34"/>
        <v>19</v>
      </c>
      <c r="BO74" s="5">
        <f t="shared" si="34"/>
        <v>0</v>
      </c>
      <c r="BP74" s="5">
        <f t="shared" si="34"/>
        <v>0</v>
      </c>
      <c r="BQ74" s="5">
        <f t="shared" si="34"/>
        <v>20</v>
      </c>
    </row>
    <row r="75" spans="1:69" outlineLevel="2">
      <c r="A75" s="34"/>
      <c r="B75" s="34"/>
      <c r="C75" s="64"/>
      <c r="D75" s="65"/>
      <c r="E75" s="21" t="s">
        <v>194</v>
      </c>
      <c r="F75" s="21"/>
      <c r="G75" s="21" t="s">
        <v>214</v>
      </c>
      <c r="H75" s="21"/>
      <c r="I75" s="21"/>
      <c r="J75" s="13">
        <f t="shared" ref="J75:BQ75" si="35" xml:space="preserve">  INDEX( $J72:$BQ72, MATCH( J73, $J74:$BQ74, 0 ) )</f>
        <v>45138</v>
      </c>
      <c r="K75" s="13">
        <f t="shared" si="35"/>
        <v>45230</v>
      </c>
      <c r="L75" s="13">
        <f t="shared" si="35"/>
        <v>45322</v>
      </c>
      <c r="M75" s="13">
        <f t="shared" si="35"/>
        <v>45412</v>
      </c>
      <c r="N75" s="13">
        <f t="shared" si="35"/>
        <v>45504</v>
      </c>
      <c r="O75" s="13">
        <f t="shared" si="35"/>
        <v>45596</v>
      </c>
      <c r="P75" s="13">
        <f t="shared" si="35"/>
        <v>45688</v>
      </c>
      <c r="Q75" s="13">
        <f t="shared" si="35"/>
        <v>45777</v>
      </c>
      <c r="R75" s="13">
        <f t="shared" si="35"/>
        <v>45869</v>
      </c>
      <c r="S75" s="13">
        <f t="shared" si="35"/>
        <v>45961</v>
      </c>
      <c r="T75" s="13">
        <f t="shared" si="35"/>
        <v>46053</v>
      </c>
      <c r="U75" s="13">
        <f t="shared" si="35"/>
        <v>46142</v>
      </c>
      <c r="V75" s="13">
        <f t="shared" si="35"/>
        <v>46234</v>
      </c>
      <c r="W75" s="13">
        <f t="shared" si="35"/>
        <v>46326</v>
      </c>
      <c r="X75" s="13">
        <f t="shared" si="35"/>
        <v>46418</v>
      </c>
      <c r="Y75" s="13">
        <f t="shared" si="35"/>
        <v>46507</v>
      </c>
      <c r="Z75" s="13">
        <f t="shared" si="35"/>
        <v>46599</v>
      </c>
      <c r="AA75" s="13">
        <f t="shared" si="35"/>
        <v>46691</v>
      </c>
      <c r="AB75" s="13">
        <f t="shared" si="35"/>
        <v>46783</v>
      </c>
      <c r="AC75" s="13">
        <f t="shared" si="35"/>
        <v>46873</v>
      </c>
      <c r="AD75" s="13" t="e">
        <f t="shared" si="35"/>
        <v>#N/A</v>
      </c>
      <c r="AE75" s="13" t="e">
        <f t="shared" si="35"/>
        <v>#N/A</v>
      </c>
      <c r="AF75" s="13" t="e">
        <f t="shared" si="35"/>
        <v>#N/A</v>
      </c>
      <c r="AG75" s="13" t="e">
        <f t="shared" si="35"/>
        <v>#N/A</v>
      </c>
      <c r="AH75" s="13" t="e">
        <f t="shared" si="35"/>
        <v>#N/A</v>
      </c>
      <c r="AI75" s="13" t="e">
        <f t="shared" si="35"/>
        <v>#N/A</v>
      </c>
      <c r="AJ75" s="13" t="e">
        <f t="shared" si="35"/>
        <v>#N/A</v>
      </c>
      <c r="AK75" s="13" t="e">
        <f t="shared" si="35"/>
        <v>#N/A</v>
      </c>
      <c r="AL75" s="13" t="e">
        <f t="shared" si="35"/>
        <v>#N/A</v>
      </c>
      <c r="AM75" s="13" t="e">
        <f t="shared" si="35"/>
        <v>#N/A</v>
      </c>
      <c r="AN75" s="13" t="e">
        <f t="shared" si="35"/>
        <v>#N/A</v>
      </c>
      <c r="AO75" s="13" t="e">
        <f t="shared" si="35"/>
        <v>#N/A</v>
      </c>
      <c r="AP75" s="13" t="e">
        <f t="shared" si="35"/>
        <v>#N/A</v>
      </c>
      <c r="AQ75" s="13" t="e">
        <f t="shared" si="35"/>
        <v>#N/A</v>
      </c>
      <c r="AR75" s="13" t="e">
        <f t="shared" si="35"/>
        <v>#N/A</v>
      </c>
      <c r="AS75" s="13" t="e">
        <f t="shared" si="35"/>
        <v>#N/A</v>
      </c>
      <c r="AT75" s="13" t="e">
        <f t="shared" si="35"/>
        <v>#N/A</v>
      </c>
      <c r="AU75" s="13" t="e">
        <f t="shared" si="35"/>
        <v>#N/A</v>
      </c>
      <c r="AV75" s="13" t="e">
        <f t="shared" si="35"/>
        <v>#N/A</v>
      </c>
      <c r="AW75" s="13" t="e">
        <f t="shared" si="35"/>
        <v>#N/A</v>
      </c>
      <c r="AX75" s="13" t="e">
        <f t="shared" si="35"/>
        <v>#N/A</v>
      </c>
      <c r="AY75" s="13" t="e">
        <f t="shared" si="35"/>
        <v>#N/A</v>
      </c>
      <c r="AZ75" s="13" t="e">
        <f t="shared" si="35"/>
        <v>#N/A</v>
      </c>
      <c r="BA75" s="13" t="e">
        <f t="shared" si="35"/>
        <v>#N/A</v>
      </c>
      <c r="BB75" s="13" t="e">
        <f t="shared" si="35"/>
        <v>#N/A</v>
      </c>
      <c r="BC75" s="13" t="e">
        <f t="shared" si="35"/>
        <v>#N/A</v>
      </c>
      <c r="BD75" s="13" t="e">
        <f t="shared" si="35"/>
        <v>#N/A</v>
      </c>
      <c r="BE75" s="13" t="e">
        <f t="shared" si="35"/>
        <v>#N/A</v>
      </c>
      <c r="BF75" s="13" t="e">
        <f t="shared" si="35"/>
        <v>#N/A</v>
      </c>
      <c r="BG75" s="13" t="e">
        <f t="shared" si="35"/>
        <v>#N/A</v>
      </c>
      <c r="BH75" s="13" t="e">
        <f t="shared" si="35"/>
        <v>#N/A</v>
      </c>
      <c r="BI75" s="13" t="e">
        <f t="shared" si="35"/>
        <v>#N/A</v>
      </c>
      <c r="BJ75" s="13" t="e">
        <f t="shared" si="35"/>
        <v>#N/A</v>
      </c>
      <c r="BK75" s="13" t="e">
        <f t="shared" si="35"/>
        <v>#N/A</v>
      </c>
      <c r="BL75" s="13" t="e">
        <f t="shared" si="35"/>
        <v>#N/A</v>
      </c>
      <c r="BM75" s="13" t="e">
        <f t="shared" si="35"/>
        <v>#N/A</v>
      </c>
      <c r="BN75" s="13" t="e">
        <f t="shared" si="35"/>
        <v>#N/A</v>
      </c>
      <c r="BO75" s="13" t="e">
        <f t="shared" si="35"/>
        <v>#N/A</v>
      </c>
      <c r="BP75" s="13" t="e">
        <f t="shared" si="35"/>
        <v>#N/A</v>
      </c>
      <c r="BQ75" s="13" t="e">
        <f t="shared" si="35"/>
        <v>#N/A</v>
      </c>
    </row>
    <row r="76" spans="1:69" outlineLevel="1"/>
    <row r="77" spans="1:69" outlineLevel="1"/>
    <row r="78" spans="1:69" outlineLevel="1">
      <c r="B78" s="25" t="s">
        <v>169</v>
      </c>
    </row>
    <row r="79" spans="1:69" outlineLevel="2">
      <c r="E79" s="2" t="str">
        <f t="shared" ref="E79:BQ79" si="36" xml:space="preserve">  E$24</f>
        <v>Timeline label</v>
      </c>
      <c r="F79" s="2">
        <f t="shared" si="36"/>
        <v>0</v>
      </c>
      <c r="G79" s="2" t="str">
        <f t="shared" si="36"/>
        <v>GBP</v>
      </c>
      <c r="H79" s="2">
        <f t="shared" si="36"/>
        <v>0</v>
      </c>
      <c r="I79" s="2">
        <f t="shared" si="36"/>
        <v>0</v>
      </c>
      <c r="J79" s="2" t="str">
        <f t="shared" si="36"/>
        <v>Month1</v>
      </c>
      <c r="K79" s="2" t="str">
        <f t="shared" si="36"/>
        <v>Month2</v>
      </c>
      <c r="L79" s="2" t="str">
        <f t="shared" si="36"/>
        <v>Month3</v>
      </c>
      <c r="M79" s="2" t="str">
        <f t="shared" si="36"/>
        <v>Month4</v>
      </c>
      <c r="N79" s="2" t="str">
        <f t="shared" si="36"/>
        <v>Month5</v>
      </c>
      <c r="O79" s="2" t="str">
        <f t="shared" si="36"/>
        <v>Month6</v>
      </c>
      <c r="P79" s="2" t="str">
        <f t="shared" si="36"/>
        <v>Month7</v>
      </c>
      <c r="Q79" s="2" t="str">
        <f t="shared" si="36"/>
        <v>Month8</v>
      </c>
      <c r="R79" s="2" t="str">
        <f t="shared" si="36"/>
        <v>Month9</v>
      </c>
      <c r="S79" s="2" t="str">
        <f t="shared" si="36"/>
        <v>Month10</v>
      </c>
      <c r="T79" s="2" t="str">
        <f t="shared" si="36"/>
        <v>Month11</v>
      </c>
      <c r="U79" s="2" t="str">
        <f t="shared" si="36"/>
        <v>Month12</v>
      </c>
      <c r="V79" s="2" t="str">
        <f t="shared" si="36"/>
        <v>Month13</v>
      </c>
      <c r="W79" s="2" t="str">
        <f t="shared" si="36"/>
        <v>Month14</v>
      </c>
      <c r="X79" s="2" t="str">
        <f t="shared" si="36"/>
        <v>Month15</v>
      </c>
      <c r="Y79" s="2" t="str">
        <f t="shared" si="36"/>
        <v>Month16</v>
      </c>
      <c r="Z79" s="2" t="str">
        <f t="shared" si="36"/>
        <v>Month17</v>
      </c>
      <c r="AA79" s="2" t="str">
        <f t="shared" si="36"/>
        <v>Month18</v>
      </c>
      <c r="AB79" s="2" t="str">
        <f t="shared" si="36"/>
        <v>Month19</v>
      </c>
      <c r="AC79" s="2" t="str">
        <f t="shared" si="36"/>
        <v>Month20</v>
      </c>
      <c r="AD79" s="2" t="str">
        <f t="shared" si="36"/>
        <v>Month21</v>
      </c>
      <c r="AE79" s="2" t="str">
        <f t="shared" si="36"/>
        <v>Month22</v>
      </c>
      <c r="AF79" s="2" t="str">
        <f t="shared" si="36"/>
        <v>Month23</v>
      </c>
      <c r="AG79" s="2" t="str">
        <f t="shared" si="36"/>
        <v>Month24</v>
      </c>
      <c r="AH79" s="2" t="str">
        <f t="shared" si="36"/>
        <v>Month25</v>
      </c>
      <c r="AI79" s="2" t="str">
        <f t="shared" si="36"/>
        <v>Month26</v>
      </c>
      <c r="AJ79" s="2" t="str">
        <f t="shared" si="36"/>
        <v>Month27</v>
      </c>
      <c r="AK79" s="2" t="str">
        <f t="shared" si="36"/>
        <v>Month28</v>
      </c>
      <c r="AL79" s="2" t="str">
        <f t="shared" si="36"/>
        <v>Month29</v>
      </c>
      <c r="AM79" s="2" t="str">
        <f t="shared" si="36"/>
        <v>Month30</v>
      </c>
      <c r="AN79" s="2" t="str">
        <f t="shared" si="36"/>
        <v>Month31</v>
      </c>
      <c r="AO79" s="2" t="str">
        <f t="shared" si="36"/>
        <v>Month32</v>
      </c>
      <c r="AP79" s="2" t="str">
        <f t="shared" si="36"/>
        <v>Month33</v>
      </c>
      <c r="AQ79" s="2" t="str">
        <f t="shared" si="36"/>
        <v>Month34</v>
      </c>
      <c r="AR79" s="2" t="str">
        <f t="shared" si="36"/>
        <v>Month35</v>
      </c>
      <c r="AS79" s="2" t="str">
        <f t="shared" si="36"/>
        <v>Month36</v>
      </c>
      <c r="AT79" s="2" t="str">
        <f t="shared" si="36"/>
        <v>Month37</v>
      </c>
      <c r="AU79" s="2" t="str">
        <f t="shared" si="36"/>
        <v>Month38</v>
      </c>
      <c r="AV79" s="2" t="str">
        <f t="shared" si="36"/>
        <v>Month39</v>
      </c>
      <c r="AW79" s="2" t="str">
        <f t="shared" si="36"/>
        <v>Month40</v>
      </c>
      <c r="AX79" s="2" t="str">
        <f t="shared" si="36"/>
        <v>Month41</v>
      </c>
      <c r="AY79" s="2" t="str">
        <f t="shared" si="36"/>
        <v>Month42</v>
      </c>
      <c r="AZ79" s="2" t="str">
        <f t="shared" si="36"/>
        <v>Month43</v>
      </c>
      <c r="BA79" s="2" t="str">
        <f t="shared" si="36"/>
        <v>Month44</v>
      </c>
      <c r="BB79" s="2" t="str">
        <f t="shared" si="36"/>
        <v>Month45</v>
      </c>
      <c r="BC79" s="2" t="str">
        <f t="shared" si="36"/>
        <v>Month46</v>
      </c>
      <c r="BD79" s="2" t="str">
        <f t="shared" si="36"/>
        <v>Month47</v>
      </c>
      <c r="BE79" s="2" t="str">
        <f t="shared" si="36"/>
        <v>Month48</v>
      </c>
      <c r="BF79" s="2" t="str">
        <f t="shared" si="36"/>
        <v>Month49</v>
      </c>
      <c r="BG79" s="2" t="str">
        <f t="shared" si="36"/>
        <v>Month50</v>
      </c>
      <c r="BH79" s="2" t="str">
        <f t="shared" si="36"/>
        <v>Month51</v>
      </c>
      <c r="BI79" s="2" t="str">
        <f t="shared" si="36"/>
        <v>Month52</v>
      </c>
      <c r="BJ79" s="2" t="str">
        <f t="shared" si="36"/>
        <v>Month53</v>
      </c>
      <c r="BK79" s="2" t="str">
        <f t="shared" si="36"/>
        <v>Month54</v>
      </c>
      <c r="BL79" s="2" t="str">
        <f t="shared" si="36"/>
        <v>Month55</v>
      </c>
      <c r="BM79" s="2" t="str">
        <f t="shared" si="36"/>
        <v>Month56</v>
      </c>
      <c r="BN79" s="2" t="str">
        <f t="shared" si="36"/>
        <v>Month57</v>
      </c>
      <c r="BO79" s="2" t="str">
        <f t="shared" si="36"/>
        <v>Month58</v>
      </c>
      <c r="BP79" s="2" t="str">
        <f t="shared" si="36"/>
        <v>Month59</v>
      </c>
      <c r="BQ79" s="2" t="str">
        <f t="shared" si="36"/>
        <v>Month60</v>
      </c>
    </row>
    <row r="80" spans="1:69" outlineLevel="2">
      <c r="E80" s="5" t="str">
        <f t="shared" ref="E80:BQ80" si="37" xml:space="preserve">  E$28</f>
        <v>Period number</v>
      </c>
      <c r="F80" s="5">
        <f t="shared" si="37"/>
        <v>0</v>
      </c>
      <c r="G80" s="5" t="str">
        <f t="shared" si="37"/>
        <v>Counter</v>
      </c>
      <c r="H80" s="5">
        <f t="shared" si="37"/>
        <v>0</v>
      </c>
      <c r="I80" s="5">
        <f t="shared" si="37"/>
        <v>0</v>
      </c>
      <c r="J80" s="5">
        <f t="shared" si="37"/>
        <v>1</v>
      </c>
      <c r="K80" s="5">
        <f t="shared" si="37"/>
        <v>2</v>
      </c>
      <c r="L80" s="5">
        <f t="shared" si="37"/>
        <v>3</v>
      </c>
      <c r="M80" s="5">
        <f t="shared" si="37"/>
        <v>4</v>
      </c>
      <c r="N80" s="5">
        <f t="shared" si="37"/>
        <v>5</v>
      </c>
      <c r="O80" s="5">
        <f t="shared" si="37"/>
        <v>6</v>
      </c>
      <c r="P80" s="5">
        <f t="shared" si="37"/>
        <v>7</v>
      </c>
      <c r="Q80" s="5">
        <f t="shared" si="37"/>
        <v>8</v>
      </c>
      <c r="R80" s="5">
        <f t="shared" si="37"/>
        <v>9</v>
      </c>
      <c r="S80" s="5">
        <f t="shared" si="37"/>
        <v>10</v>
      </c>
      <c r="T80" s="5">
        <f t="shared" si="37"/>
        <v>11</v>
      </c>
      <c r="U80" s="5">
        <f t="shared" si="37"/>
        <v>12</v>
      </c>
      <c r="V80" s="5">
        <f t="shared" si="37"/>
        <v>13</v>
      </c>
      <c r="W80" s="5">
        <f t="shared" si="37"/>
        <v>14</v>
      </c>
      <c r="X80" s="5">
        <f t="shared" si="37"/>
        <v>15</v>
      </c>
      <c r="Y80" s="5">
        <f t="shared" si="37"/>
        <v>16</v>
      </c>
      <c r="Z80" s="5">
        <f t="shared" si="37"/>
        <v>17</v>
      </c>
      <c r="AA80" s="5">
        <f t="shared" si="37"/>
        <v>18</v>
      </c>
      <c r="AB80" s="5">
        <f t="shared" si="37"/>
        <v>19</v>
      </c>
      <c r="AC80" s="5">
        <f t="shared" si="37"/>
        <v>20</v>
      </c>
      <c r="AD80" s="5">
        <f t="shared" si="37"/>
        <v>21</v>
      </c>
      <c r="AE80" s="5">
        <f t="shared" si="37"/>
        <v>22</v>
      </c>
      <c r="AF80" s="5">
        <f t="shared" si="37"/>
        <v>23</v>
      </c>
      <c r="AG80" s="5">
        <f t="shared" si="37"/>
        <v>24</v>
      </c>
      <c r="AH80" s="5">
        <f t="shared" si="37"/>
        <v>25</v>
      </c>
      <c r="AI80" s="5">
        <f t="shared" si="37"/>
        <v>26</v>
      </c>
      <c r="AJ80" s="5">
        <f t="shared" si="37"/>
        <v>27</v>
      </c>
      <c r="AK80" s="5">
        <f t="shared" si="37"/>
        <v>28</v>
      </c>
      <c r="AL80" s="5">
        <f t="shared" si="37"/>
        <v>29</v>
      </c>
      <c r="AM80" s="5">
        <f t="shared" si="37"/>
        <v>30</v>
      </c>
      <c r="AN80" s="5">
        <f t="shared" si="37"/>
        <v>31</v>
      </c>
      <c r="AO80" s="5">
        <f t="shared" si="37"/>
        <v>32</v>
      </c>
      <c r="AP80" s="5">
        <f t="shared" si="37"/>
        <v>33</v>
      </c>
      <c r="AQ80" s="5">
        <f t="shared" si="37"/>
        <v>34</v>
      </c>
      <c r="AR80" s="5">
        <f t="shared" si="37"/>
        <v>35</v>
      </c>
      <c r="AS80" s="5">
        <f t="shared" si="37"/>
        <v>36</v>
      </c>
      <c r="AT80" s="5">
        <f t="shared" si="37"/>
        <v>37</v>
      </c>
      <c r="AU80" s="5">
        <f t="shared" si="37"/>
        <v>38</v>
      </c>
      <c r="AV80" s="5">
        <f t="shared" si="37"/>
        <v>39</v>
      </c>
      <c r="AW80" s="5">
        <f t="shared" si="37"/>
        <v>40</v>
      </c>
      <c r="AX80" s="5">
        <f t="shared" si="37"/>
        <v>41</v>
      </c>
      <c r="AY80" s="5">
        <f t="shared" si="37"/>
        <v>42</v>
      </c>
      <c r="AZ80" s="5">
        <f t="shared" si="37"/>
        <v>43</v>
      </c>
      <c r="BA80" s="5">
        <f t="shared" si="37"/>
        <v>44</v>
      </c>
      <c r="BB80" s="5">
        <f t="shared" si="37"/>
        <v>45</v>
      </c>
      <c r="BC80" s="5">
        <f t="shared" si="37"/>
        <v>46</v>
      </c>
      <c r="BD80" s="5">
        <f t="shared" si="37"/>
        <v>47</v>
      </c>
      <c r="BE80" s="5">
        <f t="shared" si="37"/>
        <v>48</v>
      </c>
      <c r="BF80" s="5">
        <f t="shared" si="37"/>
        <v>49</v>
      </c>
      <c r="BG80" s="5">
        <f t="shared" si="37"/>
        <v>50</v>
      </c>
      <c r="BH80" s="5">
        <f t="shared" si="37"/>
        <v>51</v>
      </c>
      <c r="BI80" s="5">
        <f t="shared" si="37"/>
        <v>52</v>
      </c>
      <c r="BJ80" s="5">
        <f t="shared" si="37"/>
        <v>53</v>
      </c>
      <c r="BK80" s="5">
        <f t="shared" si="37"/>
        <v>54</v>
      </c>
      <c r="BL80" s="5">
        <f t="shared" si="37"/>
        <v>55</v>
      </c>
      <c r="BM80" s="5">
        <f t="shared" si="37"/>
        <v>56</v>
      </c>
      <c r="BN80" s="5">
        <f t="shared" si="37"/>
        <v>57</v>
      </c>
      <c r="BO80" s="5">
        <f t="shared" si="37"/>
        <v>58</v>
      </c>
      <c r="BP80" s="5">
        <f t="shared" si="37"/>
        <v>59</v>
      </c>
      <c r="BQ80" s="5">
        <f t="shared" si="37"/>
        <v>60</v>
      </c>
    </row>
    <row r="81" spans="1:69" outlineLevel="2">
      <c r="E81" s="5" t="str">
        <f t="shared" ref="E81:BQ81" si="38" xml:space="preserve">  E$337</f>
        <v>Month to Quarter : period end flag</v>
      </c>
      <c r="F81" s="5">
        <f t="shared" si="38"/>
        <v>0</v>
      </c>
      <c r="G81" s="5" t="str">
        <f t="shared" si="38"/>
        <v>counter</v>
      </c>
      <c r="H81" s="5">
        <f t="shared" si="38"/>
        <v>0</v>
      </c>
      <c r="I81" s="5">
        <f t="shared" si="38"/>
        <v>0</v>
      </c>
      <c r="J81" s="5">
        <f t="shared" si="38"/>
        <v>0</v>
      </c>
      <c r="K81" s="5">
        <f t="shared" si="38"/>
        <v>0</v>
      </c>
      <c r="L81" s="5">
        <f t="shared" si="38"/>
        <v>1</v>
      </c>
      <c r="M81" s="5">
        <f t="shared" si="38"/>
        <v>0</v>
      </c>
      <c r="N81" s="5">
        <f t="shared" si="38"/>
        <v>0</v>
      </c>
      <c r="O81" s="5">
        <f t="shared" si="38"/>
        <v>2</v>
      </c>
      <c r="P81" s="5">
        <f t="shared" si="38"/>
        <v>0</v>
      </c>
      <c r="Q81" s="5">
        <f t="shared" si="38"/>
        <v>0</v>
      </c>
      <c r="R81" s="5">
        <f t="shared" si="38"/>
        <v>3</v>
      </c>
      <c r="S81" s="5">
        <f t="shared" si="38"/>
        <v>0</v>
      </c>
      <c r="T81" s="5">
        <f t="shared" si="38"/>
        <v>0</v>
      </c>
      <c r="U81" s="5">
        <f t="shared" si="38"/>
        <v>4</v>
      </c>
      <c r="V81" s="5">
        <f t="shared" si="38"/>
        <v>0</v>
      </c>
      <c r="W81" s="5">
        <f t="shared" si="38"/>
        <v>0</v>
      </c>
      <c r="X81" s="5">
        <f t="shared" si="38"/>
        <v>5</v>
      </c>
      <c r="Y81" s="5">
        <f t="shared" si="38"/>
        <v>0</v>
      </c>
      <c r="Z81" s="5">
        <f t="shared" si="38"/>
        <v>0</v>
      </c>
      <c r="AA81" s="5">
        <f t="shared" si="38"/>
        <v>6</v>
      </c>
      <c r="AB81" s="5">
        <f t="shared" si="38"/>
        <v>0</v>
      </c>
      <c r="AC81" s="5">
        <f t="shared" si="38"/>
        <v>0</v>
      </c>
      <c r="AD81" s="5">
        <f t="shared" si="38"/>
        <v>7</v>
      </c>
      <c r="AE81" s="5">
        <f t="shared" si="38"/>
        <v>0</v>
      </c>
      <c r="AF81" s="5">
        <f t="shared" si="38"/>
        <v>0</v>
      </c>
      <c r="AG81" s="5">
        <f t="shared" si="38"/>
        <v>8</v>
      </c>
      <c r="AH81" s="5">
        <f t="shared" si="38"/>
        <v>0</v>
      </c>
      <c r="AI81" s="5">
        <f t="shared" si="38"/>
        <v>0</v>
      </c>
      <c r="AJ81" s="5">
        <f t="shared" si="38"/>
        <v>9</v>
      </c>
      <c r="AK81" s="5">
        <f t="shared" si="38"/>
        <v>0</v>
      </c>
      <c r="AL81" s="5">
        <f t="shared" si="38"/>
        <v>0</v>
      </c>
      <c r="AM81" s="5">
        <f t="shared" si="38"/>
        <v>10</v>
      </c>
      <c r="AN81" s="5">
        <f t="shared" si="38"/>
        <v>0</v>
      </c>
      <c r="AO81" s="5">
        <f t="shared" si="38"/>
        <v>0</v>
      </c>
      <c r="AP81" s="5">
        <f t="shared" si="38"/>
        <v>11</v>
      </c>
      <c r="AQ81" s="5">
        <f t="shared" si="38"/>
        <v>0</v>
      </c>
      <c r="AR81" s="5">
        <f t="shared" si="38"/>
        <v>0</v>
      </c>
      <c r="AS81" s="5">
        <f t="shared" si="38"/>
        <v>12</v>
      </c>
      <c r="AT81" s="5">
        <f t="shared" si="38"/>
        <v>0</v>
      </c>
      <c r="AU81" s="5">
        <f t="shared" si="38"/>
        <v>0</v>
      </c>
      <c r="AV81" s="5">
        <f t="shared" si="38"/>
        <v>13</v>
      </c>
      <c r="AW81" s="5">
        <f t="shared" si="38"/>
        <v>0</v>
      </c>
      <c r="AX81" s="5">
        <f t="shared" si="38"/>
        <v>0</v>
      </c>
      <c r="AY81" s="5">
        <f t="shared" si="38"/>
        <v>14</v>
      </c>
      <c r="AZ81" s="5">
        <f t="shared" si="38"/>
        <v>0</v>
      </c>
      <c r="BA81" s="5">
        <f t="shared" si="38"/>
        <v>0</v>
      </c>
      <c r="BB81" s="5">
        <f t="shared" si="38"/>
        <v>15</v>
      </c>
      <c r="BC81" s="5">
        <f t="shared" si="38"/>
        <v>0</v>
      </c>
      <c r="BD81" s="5">
        <f t="shared" si="38"/>
        <v>0</v>
      </c>
      <c r="BE81" s="5">
        <f t="shared" si="38"/>
        <v>16</v>
      </c>
      <c r="BF81" s="5">
        <f t="shared" si="38"/>
        <v>0</v>
      </c>
      <c r="BG81" s="5">
        <f t="shared" si="38"/>
        <v>0</v>
      </c>
      <c r="BH81" s="5">
        <f t="shared" si="38"/>
        <v>17</v>
      </c>
      <c r="BI81" s="5">
        <f t="shared" si="38"/>
        <v>0</v>
      </c>
      <c r="BJ81" s="5">
        <f t="shared" si="38"/>
        <v>0</v>
      </c>
      <c r="BK81" s="5">
        <f t="shared" si="38"/>
        <v>18</v>
      </c>
      <c r="BL81" s="5">
        <f t="shared" si="38"/>
        <v>0</v>
      </c>
      <c r="BM81" s="5">
        <f t="shared" si="38"/>
        <v>0</v>
      </c>
      <c r="BN81" s="5">
        <f t="shared" si="38"/>
        <v>19</v>
      </c>
      <c r="BO81" s="5">
        <f t="shared" si="38"/>
        <v>0</v>
      </c>
      <c r="BP81" s="5">
        <f t="shared" si="38"/>
        <v>0</v>
      </c>
      <c r="BQ81" s="5">
        <f t="shared" si="38"/>
        <v>20</v>
      </c>
    </row>
    <row r="82" spans="1:69" outlineLevel="2">
      <c r="A82" s="34"/>
      <c r="B82" s="34"/>
      <c r="C82" s="64"/>
      <c r="D82" s="65"/>
      <c r="E82" s="21" t="s">
        <v>169</v>
      </c>
      <c r="F82" s="21"/>
      <c r="G82" s="21" t="s">
        <v>257</v>
      </c>
      <c r="H82" s="3" t="e">
        <f xml:space="preserve"> SUM( J82:BQ82 )</f>
        <v>#N/A</v>
      </c>
      <c r="I82" s="21"/>
      <c r="J82" s="3" t="str">
        <f t="shared" ref="J82:BQ82" si="39" xml:space="preserve">  INDEX( $J79:$BQ79, MATCH( J80, $J81:$BQ81, 0 ) )</f>
        <v>Month3</v>
      </c>
      <c r="K82" s="3" t="str">
        <f t="shared" si="39"/>
        <v>Month6</v>
      </c>
      <c r="L82" s="3" t="str">
        <f t="shared" si="39"/>
        <v>Month9</v>
      </c>
      <c r="M82" s="3" t="str">
        <f t="shared" si="39"/>
        <v>Month12</v>
      </c>
      <c r="N82" s="3" t="str">
        <f t="shared" si="39"/>
        <v>Month15</v>
      </c>
      <c r="O82" s="3" t="str">
        <f t="shared" si="39"/>
        <v>Month18</v>
      </c>
      <c r="P82" s="3" t="str">
        <f t="shared" si="39"/>
        <v>Month21</v>
      </c>
      <c r="Q82" s="3" t="str">
        <f t="shared" si="39"/>
        <v>Month24</v>
      </c>
      <c r="R82" s="3" t="str">
        <f t="shared" si="39"/>
        <v>Month27</v>
      </c>
      <c r="S82" s="3" t="str">
        <f t="shared" si="39"/>
        <v>Month30</v>
      </c>
      <c r="T82" s="3" t="str">
        <f t="shared" si="39"/>
        <v>Month33</v>
      </c>
      <c r="U82" s="3" t="str">
        <f t="shared" si="39"/>
        <v>Month36</v>
      </c>
      <c r="V82" s="3" t="str">
        <f t="shared" si="39"/>
        <v>Month39</v>
      </c>
      <c r="W82" s="3" t="str">
        <f t="shared" si="39"/>
        <v>Month42</v>
      </c>
      <c r="X82" s="3" t="str">
        <f t="shared" si="39"/>
        <v>Month45</v>
      </c>
      <c r="Y82" s="3" t="str">
        <f t="shared" si="39"/>
        <v>Month48</v>
      </c>
      <c r="Z82" s="3" t="str">
        <f t="shared" si="39"/>
        <v>Month51</v>
      </c>
      <c r="AA82" s="3" t="str">
        <f t="shared" si="39"/>
        <v>Month54</v>
      </c>
      <c r="AB82" s="3" t="str">
        <f t="shared" si="39"/>
        <v>Month57</v>
      </c>
      <c r="AC82" s="3" t="str">
        <f t="shared" si="39"/>
        <v>Month60</v>
      </c>
      <c r="AD82" s="3" t="e">
        <f t="shared" si="39"/>
        <v>#N/A</v>
      </c>
      <c r="AE82" s="3" t="e">
        <f t="shared" si="39"/>
        <v>#N/A</v>
      </c>
      <c r="AF82" s="3" t="e">
        <f t="shared" si="39"/>
        <v>#N/A</v>
      </c>
      <c r="AG82" s="3" t="e">
        <f t="shared" si="39"/>
        <v>#N/A</v>
      </c>
      <c r="AH82" s="3" t="e">
        <f t="shared" si="39"/>
        <v>#N/A</v>
      </c>
      <c r="AI82" s="3" t="e">
        <f t="shared" si="39"/>
        <v>#N/A</v>
      </c>
      <c r="AJ82" s="3" t="e">
        <f t="shared" si="39"/>
        <v>#N/A</v>
      </c>
      <c r="AK82" s="3" t="e">
        <f t="shared" si="39"/>
        <v>#N/A</v>
      </c>
      <c r="AL82" s="3" t="e">
        <f t="shared" si="39"/>
        <v>#N/A</v>
      </c>
      <c r="AM82" s="3" t="e">
        <f t="shared" si="39"/>
        <v>#N/A</v>
      </c>
      <c r="AN82" s="3" t="e">
        <f t="shared" si="39"/>
        <v>#N/A</v>
      </c>
      <c r="AO82" s="3" t="e">
        <f t="shared" si="39"/>
        <v>#N/A</v>
      </c>
      <c r="AP82" s="3" t="e">
        <f t="shared" si="39"/>
        <v>#N/A</v>
      </c>
      <c r="AQ82" s="3" t="e">
        <f t="shared" si="39"/>
        <v>#N/A</v>
      </c>
      <c r="AR82" s="3" t="e">
        <f t="shared" si="39"/>
        <v>#N/A</v>
      </c>
      <c r="AS82" s="3" t="e">
        <f t="shared" si="39"/>
        <v>#N/A</v>
      </c>
      <c r="AT82" s="3" t="e">
        <f t="shared" si="39"/>
        <v>#N/A</v>
      </c>
      <c r="AU82" s="3" t="e">
        <f t="shared" si="39"/>
        <v>#N/A</v>
      </c>
      <c r="AV82" s="3" t="e">
        <f t="shared" si="39"/>
        <v>#N/A</v>
      </c>
      <c r="AW82" s="3" t="e">
        <f t="shared" si="39"/>
        <v>#N/A</v>
      </c>
      <c r="AX82" s="3" t="e">
        <f t="shared" si="39"/>
        <v>#N/A</v>
      </c>
      <c r="AY82" s="3" t="e">
        <f t="shared" si="39"/>
        <v>#N/A</v>
      </c>
      <c r="AZ82" s="3" t="e">
        <f t="shared" si="39"/>
        <v>#N/A</v>
      </c>
      <c r="BA82" s="3" t="e">
        <f t="shared" si="39"/>
        <v>#N/A</v>
      </c>
      <c r="BB82" s="3" t="e">
        <f t="shared" si="39"/>
        <v>#N/A</v>
      </c>
      <c r="BC82" s="3" t="e">
        <f t="shared" si="39"/>
        <v>#N/A</v>
      </c>
      <c r="BD82" s="3" t="e">
        <f t="shared" si="39"/>
        <v>#N/A</v>
      </c>
      <c r="BE82" s="3" t="e">
        <f t="shared" si="39"/>
        <v>#N/A</v>
      </c>
      <c r="BF82" s="3" t="e">
        <f t="shared" si="39"/>
        <v>#N/A</v>
      </c>
      <c r="BG82" s="3" t="e">
        <f t="shared" si="39"/>
        <v>#N/A</v>
      </c>
      <c r="BH82" s="3" t="e">
        <f t="shared" si="39"/>
        <v>#N/A</v>
      </c>
      <c r="BI82" s="3" t="e">
        <f t="shared" si="39"/>
        <v>#N/A</v>
      </c>
      <c r="BJ82" s="3" t="e">
        <f t="shared" si="39"/>
        <v>#N/A</v>
      </c>
      <c r="BK82" s="3" t="e">
        <f t="shared" si="39"/>
        <v>#N/A</v>
      </c>
      <c r="BL82" s="3" t="e">
        <f t="shared" si="39"/>
        <v>#N/A</v>
      </c>
      <c r="BM82" s="3" t="e">
        <f t="shared" si="39"/>
        <v>#N/A</v>
      </c>
      <c r="BN82" s="3" t="e">
        <f t="shared" si="39"/>
        <v>#N/A</v>
      </c>
      <c r="BO82" s="3" t="e">
        <f t="shared" si="39"/>
        <v>#N/A</v>
      </c>
      <c r="BP82" s="3" t="e">
        <f t="shared" si="39"/>
        <v>#N/A</v>
      </c>
      <c r="BQ82" s="3" t="e">
        <f t="shared" si="39"/>
        <v>#N/A</v>
      </c>
    </row>
    <row r="83" spans="1:69" outlineLevel="1"/>
    <row r="84" spans="1:69" outlineLevel="1"/>
    <row r="85" spans="1:69" outlineLevel="1">
      <c r="B85" s="25" t="s">
        <v>343</v>
      </c>
    </row>
    <row r="86" spans="1:69" outlineLevel="2">
      <c r="E86" s="5" t="str">
        <f t="shared" ref="E86:BQ86" si="40" xml:space="preserve">  E$28</f>
        <v>Period number</v>
      </c>
      <c r="F86" s="5">
        <f t="shared" si="40"/>
        <v>0</v>
      </c>
      <c r="G86" s="5" t="str">
        <f t="shared" si="40"/>
        <v>Counter</v>
      </c>
      <c r="H86" s="5">
        <f t="shared" si="40"/>
        <v>0</v>
      </c>
      <c r="I86" s="5">
        <f t="shared" si="40"/>
        <v>0</v>
      </c>
      <c r="J86" s="5">
        <f t="shared" si="40"/>
        <v>1</v>
      </c>
      <c r="K86" s="5">
        <f t="shared" si="40"/>
        <v>2</v>
      </c>
      <c r="L86" s="5">
        <f t="shared" si="40"/>
        <v>3</v>
      </c>
      <c r="M86" s="5">
        <f t="shared" si="40"/>
        <v>4</v>
      </c>
      <c r="N86" s="5">
        <f t="shared" si="40"/>
        <v>5</v>
      </c>
      <c r="O86" s="5">
        <f t="shared" si="40"/>
        <v>6</v>
      </c>
      <c r="P86" s="5">
        <f t="shared" si="40"/>
        <v>7</v>
      </c>
      <c r="Q86" s="5">
        <f t="shared" si="40"/>
        <v>8</v>
      </c>
      <c r="R86" s="5">
        <f t="shared" si="40"/>
        <v>9</v>
      </c>
      <c r="S86" s="5">
        <f t="shared" si="40"/>
        <v>10</v>
      </c>
      <c r="T86" s="5">
        <f t="shared" si="40"/>
        <v>11</v>
      </c>
      <c r="U86" s="5">
        <f t="shared" si="40"/>
        <v>12</v>
      </c>
      <c r="V86" s="5">
        <f t="shared" si="40"/>
        <v>13</v>
      </c>
      <c r="W86" s="5">
        <f t="shared" si="40"/>
        <v>14</v>
      </c>
      <c r="X86" s="5">
        <f t="shared" si="40"/>
        <v>15</v>
      </c>
      <c r="Y86" s="5">
        <f t="shared" si="40"/>
        <v>16</v>
      </c>
      <c r="Z86" s="5">
        <f t="shared" si="40"/>
        <v>17</v>
      </c>
      <c r="AA86" s="5">
        <f t="shared" si="40"/>
        <v>18</v>
      </c>
      <c r="AB86" s="5">
        <f t="shared" si="40"/>
        <v>19</v>
      </c>
      <c r="AC86" s="5">
        <f t="shared" si="40"/>
        <v>20</v>
      </c>
      <c r="AD86" s="5">
        <f t="shared" si="40"/>
        <v>21</v>
      </c>
      <c r="AE86" s="5">
        <f t="shared" si="40"/>
        <v>22</v>
      </c>
      <c r="AF86" s="5">
        <f t="shared" si="40"/>
        <v>23</v>
      </c>
      <c r="AG86" s="5">
        <f t="shared" si="40"/>
        <v>24</v>
      </c>
      <c r="AH86" s="5">
        <f t="shared" si="40"/>
        <v>25</v>
      </c>
      <c r="AI86" s="5">
        <f t="shared" si="40"/>
        <v>26</v>
      </c>
      <c r="AJ86" s="5">
        <f t="shared" si="40"/>
        <v>27</v>
      </c>
      <c r="AK86" s="5">
        <f t="shared" si="40"/>
        <v>28</v>
      </c>
      <c r="AL86" s="5">
        <f t="shared" si="40"/>
        <v>29</v>
      </c>
      <c r="AM86" s="5">
        <f t="shared" si="40"/>
        <v>30</v>
      </c>
      <c r="AN86" s="5">
        <f t="shared" si="40"/>
        <v>31</v>
      </c>
      <c r="AO86" s="5">
        <f t="shared" si="40"/>
        <v>32</v>
      </c>
      <c r="AP86" s="5">
        <f t="shared" si="40"/>
        <v>33</v>
      </c>
      <c r="AQ86" s="5">
        <f t="shared" si="40"/>
        <v>34</v>
      </c>
      <c r="AR86" s="5">
        <f t="shared" si="40"/>
        <v>35</v>
      </c>
      <c r="AS86" s="5">
        <f t="shared" si="40"/>
        <v>36</v>
      </c>
      <c r="AT86" s="5">
        <f t="shared" si="40"/>
        <v>37</v>
      </c>
      <c r="AU86" s="5">
        <f t="shared" si="40"/>
        <v>38</v>
      </c>
      <c r="AV86" s="5">
        <f t="shared" si="40"/>
        <v>39</v>
      </c>
      <c r="AW86" s="5">
        <f t="shared" si="40"/>
        <v>40</v>
      </c>
      <c r="AX86" s="5">
        <f t="shared" si="40"/>
        <v>41</v>
      </c>
      <c r="AY86" s="5">
        <f t="shared" si="40"/>
        <v>42</v>
      </c>
      <c r="AZ86" s="5">
        <f t="shared" si="40"/>
        <v>43</v>
      </c>
      <c r="BA86" s="5">
        <f t="shared" si="40"/>
        <v>44</v>
      </c>
      <c r="BB86" s="5">
        <f t="shared" si="40"/>
        <v>45</v>
      </c>
      <c r="BC86" s="5">
        <f t="shared" si="40"/>
        <v>46</v>
      </c>
      <c r="BD86" s="5">
        <f t="shared" si="40"/>
        <v>47</v>
      </c>
      <c r="BE86" s="5">
        <f t="shared" si="40"/>
        <v>48</v>
      </c>
      <c r="BF86" s="5">
        <f t="shared" si="40"/>
        <v>49</v>
      </c>
      <c r="BG86" s="5">
        <f t="shared" si="40"/>
        <v>50</v>
      </c>
      <c r="BH86" s="5">
        <f t="shared" si="40"/>
        <v>51</v>
      </c>
      <c r="BI86" s="5">
        <f t="shared" si="40"/>
        <v>52</v>
      </c>
      <c r="BJ86" s="5">
        <f t="shared" si="40"/>
        <v>53</v>
      </c>
      <c r="BK86" s="5">
        <f t="shared" si="40"/>
        <v>54</v>
      </c>
      <c r="BL86" s="5">
        <f t="shared" si="40"/>
        <v>55</v>
      </c>
      <c r="BM86" s="5">
        <f t="shared" si="40"/>
        <v>56</v>
      </c>
      <c r="BN86" s="5">
        <f t="shared" si="40"/>
        <v>57</v>
      </c>
      <c r="BO86" s="5">
        <f t="shared" si="40"/>
        <v>58</v>
      </c>
      <c r="BP86" s="5">
        <f t="shared" si="40"/>
        <v>59</v>
      </c>
      <c r="BQ86" s="5">
        <f t="shared" si="40"/>
        <v>60</v>
      </c>
    </row>
    <row r="87" spans="1:69" outlineLevel="2">
      <c r="E87" s="5" t="str">
        <f t="shared" ref="E87:BQ87" si="41" xml:space="preserve">  E$337</f>
        <v>Month to Quarter : period end flag</v>
      </c>
      <c r="F87" s="5">
        <f t="shared" si="41"/>
        <v>0</v>
      </c>
      <c r="G87" s="5" t="str">
        <f t="shared" si="41"/>
        <v>counter</v>
      </c>
      <c r="H87" s="5">
        <f t="shared" si="41"/>
        <v>0</v>
      </c>
      <c r="I87" s="5">
        <f t="shared" si="41"/>
        <v>0</v>
      </c>
      <c r="J87" s="5">
        <f t="shared" si="41"/>
        <v>0</v>
      </c>
      <c r="K87" s="5">
        <f t="shared" si="41"/>
        <v>0</v>
      </c>
      <c r="L87" s="5">
        <f t="shared" si="41"/>
        <v>1</v>
      </c>
      <c r="M87" s="5">
        <f t="shared" si="41"/>
        <v>0</v>
      </c>
      <c r="N87" s="5">
        <f t="shared" si="41"/>
        <v>0</v>
      </c>
      <c r="O87" s="5">
        <f t="shared" si="41"/>
        <v>2</v>
      </c>
      <c r="P87" s="5">
        <f t="shared" si="41"/>
        <v>0</v>
      </c>
      <c r="Q87" s="5">
        <f t="shared" si="41"/>
        <v>0</v>
      </c>
      <c r="R87" s="5">
        <f t="shared" si="41"/>
        <v>3</v>
      </c>
      <c r="S87" s="5">
        <f t="shared" si="41"/>
        <v>0</v>
      </c>
      <c r="T87" s="5">
        <f t="shared" si="41"/>
        <v>0</v>
      </c>
      <c r="U87" s="5">
        <f t="shared" si="41"/>
        <v>4</v>
      </c>
      <c r="V87" s="5">
        <f t="shared" si="41"/>
        <v>0</v>
      </c>
      <c r="W87" s="5">
        <f t="shared" si="41"/>
        <v>0</v>
      </c>
      <c r="X87" s="5">
        <f t="shared" si="41"/>
        <v>5</v>
      </c>
      <c r="Y87" s="5">
        <f t="shared" si="41"/>
        <v>0</v>
      </c>
      <c r="Z87" s="5">
        <f t="shared" si="41"/>
        <v>0</v>
      </c>
      <c r="AA87" s="5">
        <f t="shared" si="41"/>
        <v>6</v>
      </c>
      <c r="AB87" s="5">
        <f t="shared" si="41"/>
        <v>0</v>
      </c>
      <c r="AC87" s="5">
        <f t="shared" si="41"/>
        <v>0</v>
      </c>
      <c r="AD87" s="5">
        <f t="shared" si="41"/>
        <v>7</v>
      </c>
      <c r="AE87" s="5">
        <f t="shared" si="41"/>
        <v>0</v>
      </c>
      <c r="AF87" s="5">
        <f t="shared" si="41"/>
        <v>0</v>
      </c>
      <c r="AG87" s="5">
        <f t="shared" si="41"/>
        <v>8</v>
      </c>
      <c r="AH87" s="5">
        <f t="shared" si="41"/>
        <v>0</v>
      </c>
      <c r="AI87" s="5">
        <f t="shared" si="41"/>
        <v>0</v>
      </c>
      <c r="AJ87" s="5">
        <f t="shared" si="41"/>
        <v>9</v>
      </c>
      <c r="AK87" s="5">
        <f t="shared" si="41"/>
        <v>0</v>
      </c>
      <c r="AL87" s="5">
        <f t="shared" si="41"/>
        <v>0</v>
      </c>
      <c r="AM87" s="5">
        <f t="shared" si="41"/>
        <v>10</v>
      </c>
      <c r="AN87" s="5">
        <f t="shared" si="41"/>
        <v>0</v>
      </c>
      <c r="AO87" s="5">
        <f t="shared" si="41"/>
        <v>0</v>
      </c>
      <c r="AP87" s="5">
        <f t="shared" si="41"/>
        <v>11</v>
      </c>
      <c r="AQ87" s="5">
        <f t="shared" si="41"/>
        <v>0</v>
      </c>
      <c r="AR87" s="5">
        <f t="shared" si="41"/>
        <v>0</v>
      </c>
      <c r="AS87" s="5">
        <f t="shared" si="41"/>
        <v>12</v>
      </c>
      <c r="AT87" s="5">
        <f t="shared" si="41"/>
        <v>0</v>
      </c>
      <c r="AU87" s="5">
        <f t="shared" si="41"/>
        <v>0</v>
      </c>
      <c r="AV87" s="5">
        <f t="shared" si="41"/>
        <v>13</v>
      </c>
      <c r="AW87" s="5">
        <f t="shared" si="41"/>
        <v>0</v>
      </c>
      <c r="AX87" s="5">
        <f t="shared" si="41"/>
        <v>0</v>
      </c>
      <c r="AY87" s="5">
        <f t="shared" si="41"/>
        <v>14</v>
      </c>
      <c r="AZ87" s="5">
        <f t="shared" si="41"/>
        <v>0</v>
      </c>
      <c r="BA87" s="5">
        <f t="shared" si="41"/>
        <v>0</v>
      </c>
      <c r="BB87" s="5">
        <f t="shared" si="41"/>
        <v>15</v>
      </c>
      <c r="BC87" s="5">
        <f t="shared" si="41"/>
        <v>0</v>
      </c>
      <c r="BD87" s="5">
        <f t="shared" si="41"/>
        <v>0</v>
      </c>
      <c r="BE87" s="5">
        <f t="shared" si="41"/>
        <v>16</v>
      </c>
      <c r="BF87" s="5">
        <f t="shared" si="41"/>
        <v>0</v>
      </c>
      <c r="BG87" s="5">
        <f t="shared" si="41"/>
        <v>0</v>
      </c>
      <c r="BH87" s="5">
        <f t="shared" si="41"/>
        <v>17</v>
      </c>
      <c r="BI87" s="5">
        <f t="shared" si="41"/>
        <v>0</v>
      </c>
      <c r="BJ87" s="5">
        <f t="shared" si="41"/>
        <v>0</v>
      </c>
      <c r="BK87" s="5">
        <f t="shared" si="41"/>
        <v>18</v>
      </c>
      <c r="BL87" s="5">
        <f t="shared" si="41"/>
        <v>0</v>
      </c>
      <c r="BM87" s="5">
        <f t="shared" si="41"/>
        <v>0</v>
      </c>
      <c r="BN87" s="5">
        <f t="shared" si="41"/>
        <v>19</v>
      </c>
      <c r="BO87" s="5">
        <f t="shared" si="41"/>
        <v>0</v>
      </c>
      <c r="BP87" s="5">
        <f t="shared" si="41"/>
        <v>0</v>
      </c>
      <c r="BQ87" s="5">
        <f t="shared" si="41"/>
        <v>20</v>
      </c>
    </row>
    <row r="88" spans="1:69" outlineLevel="2">
      <c r="A88" s="34"/>
      <c r="B88" s="34"/>
      <c r="C88" s="64"/>
      <c r="D88" s="65"/>
      <c r="E88" s="21" t="s">
        <v>343</v>
      </c>
      <c r="F88" s="21"/>
      <c r="G88" s="21" t="s">
        <v>285</v>
      </c>
      <c r="H88" s="21"/>
      <c r="I88" s="21"/>
      <c r="J88" s="14">
        <f t="shared" ref="J88:BQ88" si="42" xml:space="preserve">  INDEX( $J86:$BQ86, MATCH( J86, $J87:$BQ87, 0 ) )</f>
        <v>3</v>
      </c>
      <c r="K88" s="14">
        <f t="shared" si="42"/>
        <v>6</v>
      </c>
      <c r="L88" s="14">
        <f t="shared" si="42"/>
        <v>9</v>
      </c>
      <c r="M88" s="14">
        <f t="shared" si="42"/>
        <v>12</v>
      </c>
      <c r="N88" s="14">
        <f t="shared" si="42"/>
        <v>15</v>
      </c>
      <c r="O88" s="14">
        <f t="shared" si="42"/>
        <v>18</v>
      </c>
      <c r="P88" s="14">
        <f t="shared" si="42"/>
        <v>21</v>
      </c>
      <c r="Q88" s="14">
        <f t="shared" si="42"/>
        <v>24</v>
      </c>
      <c r="R88" s="14">
        <f t="shared" si="42"/>
        <v>27</v>
      </c>
      <c r="S88" s="14">
        <f t="shared" si="42"/>
        <v>30</v>
      </c>
      <c r="T88" s="14">
        <f t="shared" si="42"/>
        <v>33</v>
      </c>
      <c r="U88" s="14">
        <f t="shared" si="42"/>
        <v>36</v>
      </c>
      <c r="V88" s="14">
        <f t="shared" si="42"/>
        <v>39</v>
      </c>
      <c r="W88" s="14">
        <f t="shared" si="42"/>
        <v>42</v>
      </c>
      <c r="X88" s="14">
        <f t="shared" si="42"/>
        <v>45</v>
      </c>
      <c r="Y88" s="14">
        <f t="shared" si="42"/>
        <v>48</v>
      </c>
      <c r="Z88" s="14">
        <f t="shared" si="42"/>
        <v>51</v>
      </c>
      <c r="AA88" s="14">
        <f t="shared" si="42"/>
        <v>54</v>
      </c>
      <c r="AB88" s="14">
        <f t="shared" si="42"/>
        <v>57</v>
      </c>
      <c r="AC88" s="14">
        <f t="shared" si="42"/>
        <v>60</v>
      </c>
      <c r="AD88" s="14" t="e">
        <f t="shared" si="42"/>
        <v>#N/A</v>
      </c>
      <c r="AE88" s="14" t="e">
        <f t="shared" si="42"/>
        <v>#N/A</v>
      </c>
      <c r="AF88" s="14" t="e">
        <f t="shared" si="42"/>
        <v>#N/A</v>
      </c>
      <c r="AG88" s="14" t="e">
        <f t="shared" si="42"/>
        <v>#N/A</v>
      </c>
      <c r="AH88" s="14" t="e">
        <f t="shared" si="42"/>
        <v>#N/A</v>
      </c>
      <c r="AI88" s="14" t="e">
        <f t="shared" si="42"/>
        <v>#N/A</v>
      </c>
      <c r="AJ88" s="14" t="e">
        <f t="shared" si="42"/>
        <v>#N/A</v>
      </c>
      <c r="AK88" s="14" t="e">
        <f t="shared" si="42"/>
        <v>#N/A</v>
      </c>
      <c r="AL88" s="14" t="e">
        <f t="shared" si="42"/>
        <v>#N/A</v>
      </c>
      <c r="AM88" s="14" t="e">
        <f t="shared" si="42"/>
        <v>#N/A</v>
      </c>
      <c r="AN88" s="14" t="e">
        <f t="shared" si="42"/>
        <v>#N/A</v>
      </c>
      <c r="AO88" s="14" t="e">
        <f t="shared" si="42"/>
        <v>#N/A</v>
      </c>
      <c r="AP88" s="14" t="e">
        <f t="shared" si="42"/>
        <v>#N/A</v>
      </c>
      <c r="AQ88" s="14" t="e">
        <f t="shared" si="42"/>
        <v>#N/A</v>
      </c>
      <c r="AR88" s="14" t="e">
        <f t="shared" si="42"/>
        <v>#N/A</v>
      </c>
      <c r="AS88" s="14" t="e">
        <f t="shared" si="42"/>
        <v>#N/A</v>
      </c>
      <c r="AT88" s="14" t="e">
        <f t="shared" si="42"/>
        <v>#N/A</v>
      </c>
      <c r="AU88" s="14" t="e">
        <f t="shared" si="42"/>
        <v>#N/A</v>
      </c>
      <c r="AV88" s="14" t="e">
        <f t="shared" si="42"/>
        <v>#N/A</v>
      </c>
      <c r="AW88" s="14" t="e">
        <f t="shared" si="42"/>
        <v>#N/A</v>
      </c>
      <c r="AX88" s="14" t="e">
        <f t="shared" si="42"/>
        <v>#N/A</v>
      </c>
      <c r="AY88" s="14" t="e">
        <f t="shared" si="42"/>
        <v>#N/A</v>
      </c>
      <c r="AZ88" s="14" t="e">
        <f t="shared" si="42"/>
        <v>#N/A</v>
      </c>
      <c r="BA88" s="14" t="e">
        <f t="shared" si="42"/>
        <v>#N/A</v>
      </c>
      <c r="BB88" s="14" t="e">
        <f t="shared" si="42"/>
        <v>#N/A</v>
      </c>
      <c r="BC88" s="14" t="e">
        <f t="shared" si="42"/>
        <v>#N/A</v>
      </c>
      <c r="BD88" s="14" t="e">
        <f t="shared" si="42"/>
        <v>#N/A</v>
      </c>
      <c r="BE88" s="14" t="e">
        <f t="shared" si="42"/>
        <v>#N/A</v>
      </c>
      <c r="BF88" s="14" t="e">
        <f t="shared" si="42"/>
        <v>#N/A</v>
      </c>
      <c r="BG88" s="14" t="e">
        <f t="shared" si="42"/>
        <v>#N/A</v>
      </c>
      <c r="BH88" s="14" t="e">
        <f t="shared" si="42"/>
        <v>#N/A</v>
      </c>
      <c r="BI88" s="14" t="e">
        <f t="shared" si="42"/>
        <v>#N/A</v>
      </c>
      <c r="BJ88" s="14" t="e">
        <f t="shared" si="42"/>
        <v>#N/A</v>
      </c>
      <c r="BK88" s="14" t="e">
        <f t="shared" si="42"/>
        <v>#N/A</v>
      </c>
      <c r="BL88" s="14" t="e">
        <f t="shared" si="42"/>
        <v>#N/A</v>
      </c>
      <c r="BM88" s="14" t="e">
        <f t="shared" si="42"/>
        <v>#N/A</v>
      </c>
      <c r="BN88" s="14" t="e">
        <f t="shared" si="42"/>
        <v>#N/A</v>
      </c>
      <c r="BO88" s="14" t="e">
        <f t="shared" si="42"/>
        <v>#N/A</v>
      </c>
      <c r="BP88" s="14" t="e">
        <f t="shared" si="42"/>
        <v>#N/A</v>
      </c>
      <c r="BQ88" s="14" t="e">
        <f t="shared" si="42"/>
        <v>#N/A</v>
      </c>
    </row>
    <row r="89" spans="1:69" outlineLevel="1"/>
    <row r="90" spans="1:69" outlineLevel="1"/>
    <row r="91" spans="1:69" outlineLevel="1">
      <c r="B91" s="25" t="s">
        <v>195</v>
      </c>
    </row>
    <row r="92" spans="1:69" outlineLevel="2">
      <c r="E92" s="8" t="str">
        <f t="shared" ref="E92:BQ92" si="43" xml:space="preserve">  E$19</f>
        <v>Model period end</v>
      </c>
      <c r="F92" s="8">
        <f t="shared" si="43"/>
        <v>0</v>
      </c>
      <c r="G92" s="8" t="str">
        <f t="shared" si="43"/>
        <v>date</v>
      </c>
      <c r="H92" s="8">
        <f t="shared" si="43"/>
        <v>0</v>
      </c>
      <c r="I92" s="8">
        <f t="shared" si="43"/>
        <v>0</v>
      </c>
      <c r="J92" s="8">
        <f t="shared" si="43"/>
        <v>45077</v>
      </c>
      <c r="K92" s="8">
        <f t="shared" si="43"/>
        <v>45107</v>
      </c>
      <c r="L92" s="8">
        <f t="shared" si="43"/>
        <v>45138</v>
      </c>
      <c r="M92" s="8">
        <f t="shared" si="43"/>
        <v>45169</v>
      </c>
      <c r="N92" s="8">
        <f t="shared" si="43"/>
        <v>45199</v>
      </c>
      <c r="O92" s="8">
        <f t="shared" si="43"/>
        <v>45230</v>
      </c>
      <c r="P92" s="8">
        <f t="shared" si="43"/>
        <v>45260</v>
      </c>
      <c r="Q92" s="8">
        <f t="shared" si="43"/>
        <v>45291</v>
      </c>
      <c r="R92" s="8">
        <f t="shared" si="43"/>
        <v>45322</v>
      </c>
      <c r="S92" s="8">
        <f t="shared" si="43"/>
        <v>45351</v>
      </c>
      <c r="T92" s="8">
        <f t="shared" si="43"/>
        <v>45382</v>
      </c>
      <c r="U92" s="8">
        <f t="shared" si="43"/>
        <v>45412</v>
      </c>
      <c r="V92" s="8">
        <f t="shared" si="43"/>
        <v>45443</v>
      </c>
      <c r="W92" s="8">
        <f t="shared" si="43"/>
        <v>45473</v>
      </c>
      <c r="X92" s="8">
        <f t="shared" si="43"/>
        <v>45504</v>
      </c>
      <c r="Y92" s="8">
        <f t="shared" si="43"/>
        <v>45535</v>
      </c>
      <c r="Z92" s="8">
        <f t="shared" si="43"/>
        <v>45565</v>
      </c>
      <c r="AA92" s="8">
        <f t="shared" si="43"/>
        <v>45596</v>
      </c>
      <c r="AB92" s="8">
        <f t="shared" si="43"/>
        <v>45626</v>
      </c>
      <c r="AC92" s="8">
        <f t="shared" si="43"/>
        <v>45657</v>
      </c>
      <c r="AD92" s="8">
        <f t="shared" si="43"/>
        <v>45688</v>
      </c>
      <c r="AE92" s="8">
        <f t="shared" si="43"/>
        <v>45716</v>
      </c>
      <c r="AF92" s="8">
        <f t="shared" si="43"/>
        <v>45747</v>
      </c>
      <c r="AG92" s="8">
        <f t="shared" si="43"/>
        <v>45777</v>
      </c>
      <c r="AH92" s="8">
        <f t="shared" si="43"/>
        <v>45808</v>
      </c>
      <c r="AI92" s="8">
        <f t="shared" si="43"/>
        <v>45838</v>
      </c>
      <c r="AJ92" s="8">
        <f t="shared" si="43"/>
        <v>45869</v>
      </c>
      <c r="AK92" s="8">
        <f t="shared" si="43"/>
        <v>45900</v>
      </c>
      <c r="AL92" s="8">
        <f t="shared" si="43"/>
        <v>45930</v>
      </c>
      <c r="AM92" s="8">
        <f t="shared" si="43"/>
        <v>45961</v>
      </c>
      <c r="AN92" s="8">
        <f t="shared" si="43"/>
        <v>45991</v>
      </c>
      <c r="AO92" s="8">
        <f t="shared" si="43"/>
        <v>46022</v>
      </c>
      <c r="AP92" s="8">
        <f t="shared" si="43"/>
        <v>46053</v>
      </c>
      <c r="AQ92" s="8">
        <f t="shared" si="43"/>
        <v>46081</v>
      </c>
      <c r="AR92" s="8">
        <f t="shared" si="43"/>
        <v>46112</v>
      </c>
      <c r="AS92" s="8">
        <f t="shared" si="43"/>
        <v>46142</v>
      </c>
      <c r="AT92" s="8">
        <f t="shared" si="43"/>
        <v>46173</v>
      </c>
      <c r="AU92" s="8">
        <f t="shared" si="43"/>
        <v>46203</v>
      </c>
      <c r="AV92" s="8">
        <f t="shared" si="43"/>
        <v>46234</v>
      </c>
      <c r="AW92" s="8">
        <f t="shared" si="43"/>
        <v>46265</v>
      </c>
      <c r="AX92" s="8">
        <f t="shared" si="43"/>
        <v>46295</v>
      </c>
      <c r="AY92" s="8">
        <f t="shared" si="43"/>
        <v>46326</v>
      </c>
      <c r="AZ92" s="8">
        <f t="shared" si="43"/>
        <v>46356</v>
      </c>
      <c r="BA92" s="8">
        <f t="shared" si="43"/>
        <v>46387</v>
      </c>
      <c r="BB92" s="8">
        <f t="shared" si="43"/>
        <v>46418</v>
      </c>
      <c r="BC92" s="8">
        <f t="shared" si="43"/>
        <v>46446</v>
      </c>
      <c r="BD92" s="8">
        <f t="shared" si="43"/>
        <v>46477</v>
      </c>
      <c r="BE92" s="8">
        <f t="shared" si="43"/>
        <v>46507</v>
      </c>
      <c r="BF92" s="8">
        <f t="shared" si="43"/>
        <v>46538</v>
      </c>
      <c r="BG92" s="8">
        <f t="shared" si="43"/>
        <v>46568</v>
      </c>
      <c r="BH92" s="8">
        <f t="shared" si="43"/>
        <v>46599</v>
      </c>
      <c r="BI92" s="8">
        <f t="shared" si="43"/>
        <v>46630</v>
      </c>
      <c r="BJ92" s="8">
        <f t="shared" si="43"/>
        <v>46660</v>
      </c>
      <c r="BK92" s="8">
        <f t="shared" si="43"/>
        <v>46691</v>
      </c>
      <c r="BL92" s="8">
        <f t="shared" si="43"/>
        <v>46721</v>
      </c>
      <c r="BM92" s="8">
        <f t="shared" si="43"/>
        <v>46752</v>
      </c>
      <c r="BN92" s="8">
        <f t="shared" si="43"/>
        <v>46783</v>
      </c>
      <c r="BO92" s="8">
        <f t="shared" si="43"/>
        <v>46812</v>
      </c>
      <c r="BP92" s="8">
        <f t="shared" si="43"/>
        <v>46843</v>
      </c>
      <c r="BQ92" s="8">
        <f t="shared" si="43"/>
        <v>46873</v>
      </c>
    </row>
    <row r="93" spans="1:69" outlineLevel="2">
      <c r="E93" s="5" t="str">
        <f t="shared" ref="E93:BQ93" si="44" xml:space="preserve">  E$28</f>
        <v>Period number</v>
      </c>
      <c r="F93" s="5">
        <f t="shared" si="44"/>
        <v>0</v>
      </c>
      <c r="G93" s="5" t="str">
        <f t="shared" si="44"/>
        <v>Counter</v>
      </c>
      <c r="H93" s="5">
        <f t="shared" si="44"/>
        <v>0</v>
      </c>
      <c r="I93" s="5">
        <f t="shared" si="44"/>
        <v>0</v>
      </c>
      <c r="J93" s="5">
        <f t="shared" si="44"/>
        <v>1</v>
      </c>
      <c r="K93" s="5">
        <f t="shared" si="44"/>
        <v>2</v>
      </c>
      <c r="L93" s="5">
        <f t="shared" si="44"/>
        <v>3</v>
      </c>
      <c r="M93" s="5">
        <f t="shared" si="44"/>
        <v>4</v>
      </c>
      <c r="N93" s="5">
        <f t="shared" si="44"/>
        <v>5</v>
      </c>
      <c r="O93" s="5">
        <f t="shared" si="44"/>
        <v>6</v>
      </c>
      <c r="P93" s="5">
        <f t="shared" si="44"/>
        <v>7</v>
      </c>
      <c r="Q93" s="5">
        <f t="shared" si="44"/>
        <v>8</v>
      </c>
      <c r="R93" s="5">
        <f t="shared" si="44"/>
        <v>9</v>
      </c>
      <c r="S93" s="5">
        <f t="shared" si="44"/>
        <v>10</v>
      </c>
      <c r="T93" s="5">
        <f t="shared" si="44"/>
        <v>11</v>
      </c>
      <c r="U93" s="5">
        <f t="shared" si="44"/>
        <v>12</v>
      </c>
      <c r="V93" s="5">
        <f t="shared" si="44"/>
        <v>13</v>
      </c>
      <c r="W93" s="5">
        <f t="shared" si="44"/>
        <v>14</v>
      </c>
      <c r="X93" s="5">
        <f t="shared" si="44"/>
        <v>15</v>
      </c>
      <c r="Y93" s="5">
        <f t="shared" si="44"/>
        <v>16</v>
      </c>
      <c r="Z93" s="5">
        <f t="shared" si="44"/>
        <v>17</v>
      </c>
      <c r="AA93" s="5">
        <f t="shared" si="44"/>
        <v>18</v>
      </c>
      <c r="AB93" s="5">
        <f t="shared" si="44"/>
        <v>19</v>
      </c>
      <c r="AC93" s="5">
        <f t="shared" si="44"/>
        <v>20</v>
      </c>
      <c r="AD93" s="5">
        <f t="shared" si="44"/>
        <v>21</v>
      </c>
      <c r="AE93" s="5">
        <f t="shared" si="44"/>
        <v>22</v>
      </c>
      <c r="AF93" s="5">
        <f t="shared" si="44"/>
        <v>23</v>
      </c>
      <c r="AG93" s="5">
        <f t="shared" si="44"/>
        <v>24</v>
      </c>
      <c r="AH93" s="5">
        <f t="shared" si="44"/>
        <v>25</v>
      </c>
      <c r="AI93" s="5">
        <f t="shared" si="44"/>
        <v>26</v>
      </c>
      <c r="AJ93" s="5">
        <f t="shared" si="44"/>
        <v>27</v>
      </c>
      <c r="AK93" s="5">
        <f t="shared" si="44"/>
        <v>28</v>
      </c>
      <c r="AL93" s="5">
        <f t="shared" si="44"/>
        <v>29</v>
      </c>
      <c r="AM93" s="5">
        <f t="shared" si="44"/>
        <v>30</v>
      </c>
      <c r="AN93" s="5">
        <f t="shared" si="44"/>
        <v>31</v>
      </c>
      <c r="AO93" s="5">
        <f t="shared" si="44"/>
        <v>32</v>
      </c>
      <c r="AP93" s="5">
        <f t="shared" si="44"/>
        <v>33</v>
      </c>
      <c r="AQ93" s="5">
        <f t="shared" si="44"/>
        <v>34</v>
      </c>
      <c r="AR93" s="5">
        <f t="shared" si="44"/>
        <v>35</v>
      </c>
      <c r="AS93" s="5">
        <f t="shared" si="44"/>
        <v>36</v>
      </c>
      <c r="AT93" s="5">
        <f t="shared" si="44"/>
        <v>37</v>
      </c>
      <c r="AU93" s="5">
        <f t="shared" si="44"/>
        <v>38</v>
      </c>
      <c r="AV93" s="5">
        <f t="shared" si="44"/>
        <v>39</v>
      </c>
      <c r="AW93" s="5">
        <f t="shared" si="44"/>
        <v>40</v>
      </c>
      <c r="AX93" s="5">
        <f t="shared" si="44"/>
        <v>41</v>
      </c>
      <c r="AY93" s="5">
        <f t="shared" si="44"/>
        <v>42</v>
      </c>
      <c r="AZ93" s="5">
        <f t="shared" si="44"/>
        <v>43</v>
      </c>
      <c r="BA93" s="5">
        <f t="shared" si="44"/>
        <v>44</v>
      </c>
      <c r="BB93" s="5">
        <f t="shared" si="44"/>
        <v>45</v>
      </c>
      <c r="BC93" s="5">
        <f t="shared" si="44"/>
        <v>46</v>
      </c>
      <c r="BD93" s="5">
        <f t="shared" si="44"/>
        <v>47</v>
      </c>
      <c r="BE93" s="5">
        <f t="shared" si="44"/>
        <v>48</v>
      </c>
      <c r="BF93" s="5">
        <f t="shared" si="44"/>
        <v>49</v>
      </c>
      <c r="BG93" s="5">
        <f t="shared" si="44"/>
        <v>50</v>
      </c>
      <c r="BH93" s="5">
        <f t="shared" si="44"/>
        <v>51</v>
      </c>
      <c r="BI93" s="5">
        <f t="shared" si="44"/>
        <v>52</v>
      </c>
      <c r="BJ93" s="5">
        <f t="shared" si="44"/>
        <v>53</v>
      </c>
      <c r="BK93" s="5">
        <f t="shared" si="44"/>
        <v>54</v>
      </c>
      <c r="BL93" s="5">
        <f t="shared" si="44"/>
        <v>55</v>
      </c>
      <c r="BM93" s="5">
        <f t="shared" si="44"/>
        <v>56</v>
      </c>
      <c r="BN93" s="5">
        <f t="shared" si="44"/>
        <v>57</v>
      </c>
      <c r="BO93" s="5">
        <f t="shared" si="44"/>
        <v>58</v>
      </c>
      <c r="BP93" s="5">
        <f t="shared" si="44"/>
        <v>59</v>
      </c>
      <c r="BQ93" s="5">
        <f t="shared" si="44"/>
        <v>60</v>
      </c>
    </row>
    <row r="94" spans="1:69" outlineLevel="2">
      <c r="E94" s="5" t="str">
        <f t="shared" ref="E94:BQ94" si="45" xml:space="preserve">  E$352</f>
        <v>Month to SemiAnnual : period end flag</v>
      </c>
      <c r="F94" s="5">
        <f t="shared" si="45"/>
        <v>0</v>
      </c>
      <c r="G94" s="5" t="str">
        <f t="shared" si="45"/>
        <v>counter</v>
      </c>
      <c r="H94" s="5">
        <f t="shared" si="45"/>
        <v>0</v>
      </c>
      <c r="I94" s="5">
        <f t="shared" si="45"/>
        <v>0</v>
      </c>
      <c r="J94" s="5">
        <f t="shared" si="45"/>
        <v>0</v>
      </c>
      <c r="K94" s="5">
        <f t="shared" si="45"/>
        <v>0</v>
      </c>
      <c r="L94" s="5">
        <f t="shared" si="45"/>
        <v>0</v>
      </c>
      <c r="M94" s="5">
        <f t="shared" si="45"/>
        <v>0</v>
      </c>
      <c r="N94" s="5">
        <f t="shared" si="45"/>
        <v>0</v>
      </c>
      <c r="O94" s="5">
        <f t="shared" si="45"/>
        <v>1</v>
      </c>
      <c r="P94" s="5">
        <f t="shared" si="45"/>
        <v>0</v>
      </c>
      <c r="Q94" s="5">
        <f t="shared" si="45"/>
        <v>0</v>
      </c>
      <c r="R94" s="5">
        <f t="shared" si="45"/>
        <v>0</v>
      </c>
      <c r="S94" s="5">
        <f t="shared" si="45"/>
        <v>0</v>
      </c>
      <c r="T94" s="5">
        <f t="shared" si="45"/>
        <v>0</v>
      </c>
      <c r="U94" s="5">
        <f t="shared" si="45"/>
        <v>2</v>
      </c>
      <c r="V94" s="5">
        <f t="shared" si="45"/>
        <v>0</v>
      </c>
      <c r="W94" s="5">
        <f t="shared" si="45"/>
        <v>0</v>
      </c>
      <c r="X94" s="5">
        <f t="shared" si="45"/>
        <v>0</v>
      </c>
      <c r="Y94" s="5">
        <f t="shared" si="45"/>
        <v>0</v>
      </c>
      <c r="Z94" s="5">
        <f t="shared" si="45"/>
        <v>0</v>
      </c>
      <c r="AA94" s="5">
        <f t="shared" si="45"/>
        <v>3</v>
      </c>
      <c r="AB94" s="5">
        <f t="shared" si="45"/>
        <v>0</v>
      </c>
      <c r="AC94" s="5">
        <f t="shared" si="45"/>
        <v>0</v>
      </c>
      <c r="AD94" s="5">
        <f t="shared" si="45"/>
        <v>0</v>
      </c>
      <c r="AE94" s="5">
        <f t="shared" si="45"/>
        <v>0</v>
      </c>
      <c r="AF94" s="5">
        <f t="shared" si="45"/>
        <v>0</v>
      </c>
      <c r="AG94" s="5">
        <f t="shared" si="45"/>
        <v>4</v>
      </c>
      <c r="AH94" s="5">
        <f t="shared" si="45"/>
        <v>0</v>
      </c>
      <c r="AI94" s="5">
        <f t="shared" si="45"/>
        <v>0</v>
      </c>
      <c r="AJ94" s="5">
        <f t="shared" si="45"/>
        <v>0</v>
      </c>
      <c r="AK94" s="5">
        <f t="shared" si="45"/>
        <v>0</v>
      </c>
      <c r="AL94" s="5">
        <f t="shared" si="45"/>
        <v>0</v>
      </c>
      <c r="AM94" s="5">
        <f t="shared" si="45"/>
        <v>5</v>
      </c>
      <c r="AN94" s="5">
        <f t="shared" si="45"/>
        <v>0</v>
      </c>
      <c r="AO94" s="5">
        <f t="shared" si="45"/>
        <v>0</v>
      </c>
      <c r="AP94" s="5">
        <f t="shared" si="45"/>
        <v>0</v>
      </c>
      <c r="AQ94" s="5">
        <f t="shared" si="45"/>
        <v>0</v>
      </c>
      <c r="AR94" s="5">
        <f t="shared" si="45"/>
        <v>0</v>
      </c>
      <c r="AS94" s="5">
        <f t="shared" si="45"/>
        <v>6</v>
      </c>
      <c r="AT94" s="5">
        <f t="shared" si="45"/>
        <v>0</v>
      </c>
      <c r="AU94" s="5">
        <f t="shared" si="45"/>
        <v>0</v>
      </c>
      <c r="AV94" s="5">
        <f t="shared" si="45"/>
        <v>0</v>
      </c>
      <c r="AW94" s="5">
        <f t="shared" si="45"/>
        <v>0</v>
      </c>
      <c r="AX94" s="5">
        <f t="shared" si="45"/>
        <v>0</v>
      </c>
      <c r="AY94" s="5">
        <f t="shared" si="45"/>
        <v>7</v>
      </c>
      <c r="AZ94" s="5">
        <f t="shared" si="45"/>
        <v>0</v>
      </c>
      <c r="BA94" s="5">
        <f t="shared" si="45"/>
        <v>0</v>
      </c>
      <c r="BB94" s="5">
        <f t="shared" si="45"/>
        <v>0</v>
      </c>
      <c r="BC94" s="5">
        <f t="shared" si="45"/>
        <v>0</v>
      </c>
      <c r="BD94" s="5">
        <f t="shared" si="45"/>
        <v>0</v>
      </c>
      <c r="BE94" s="5">
        <f t="shared" si="45"/>
        <v>8</v>
      </c>
      <c r="BF94" s="5">
        <f t="shared" si="45"/>
        <v>0</v>
      </c>
      <c r="BG94" s="5">
        <f t="shared" si="45"/>
        <v>0</v>
      </c>
      <c r="BH94" s="5">
        <f t="shared" si="45"/>
        <v>0</v>
      </c>
      <c r="BI94" s="5">
        <f t="shared" si="45"/>
        <v>0</v>
      </c>
      <c r="BJ94" s="5">
        <f t="shared" si="45"/>
        <v>0</v>
      </c>
      <c r="BK94" s="5">
        <f t="shared" si="45"/>
        <v>9</v>
      </c>
      <c r="BL94" s="5">
        <f t="shared" si="45"/>
        <v>0</v>
      </c>
      <c r="BM94" s="5">
        <f t="shared" si="45"/>
        <v>0</v>
      </c>
      <c r="BN94" s="5">
        <f t="shared" si="45"/>
        <v>0</v>
      </c>
      <c r="BO94" s="5">
        <f t="shared" si="45"/>
        <v>0</v>
      </c>
      <c r="BP94" s="5">
        <f t="shared" si="45"/>
        <v>0</v>
      </c>
      <c r="BQ94" s="5">
        <f t="shared" si="45"/>
        <v>10</v>
      </c>
    </row>
    <row r="95" spans="1:69" outlineLevel="2">
      <c r="A95" s="34"/>
      <c r="B95" s="34"/>
      <c r="C95" s="64"/>
      <c r="D95" s="65"/>
      <c r="E95" s="21" t="s">
        <v>195</v>
      </c>
      <c r="F95" s="21"/>
      <c r="G95" s="21" t="s">
        <v>214</v>
      </c>
      <c r="H95" s="21"/>
      <c r="I95" s="21"/>
      <c r="J95" s="13">
        <f t="shared" ref="J95:BQ95" si="46" xml:space="preserve">  INDEX( $J92:$BQ92, MATCH( J93, $J94:$BQ94, 0 ) )</f>
        <v>45230</v>
      </c>
      <c r="K95" s="13">
        <f t="shared" si="46"/>
        <v>45412</v>
      </c>
      <c r="L95" s="13">
        <f t="shared" si="46"/>
        <v>45596</v>
      </c>
      <c r="M95" s="13">
        <f t="shared" si="46"/>
        <v>45777</v>
      </c>
      <c r="N95" s="13">
        <f t="shared" si="46"/>
        <v>45961</v>
      </c>
      <c r="O95" s="13">
        <f t="shared" si="46"/>
        <v>46142</v>
      </c>
      <c r="P95" s="13">
        <f t="shared" si="46"/>
        <v>46326</v>
      </c>
      <c r="Q95" s="13">
        <f t="shared" si="46"/>
        <v>46507</v>
      </c>
      <c r="R95" s="13">
        <f t="shared" si="46"/>
        <v>46691</v>
      </c>
      <c r="S95" s="13">
        <f t="shared" si="46"/>
        <v>46873</v>
      </c>
      <c r="T95" s="13" t="e">
        <f t="shared" si="46"/>
        <v>#N/A</v>
      </c>
      <c r="U95" s="13" t="e">
        <f t="shared" si="46"/>
        <v>#N/A</v>
      </c>
      <c r="V95" s="13" t="e">
        <f t="shared" si="46"/>
        <v>#N/A</v>
      </c>
      <c r="W95" s="13" t="e">
        <f t="shared" si="46"/>
        <v>#N/A</v>
      </c>
      <c r="X95" s="13" t="e">
        <f t="shared" si="46"/>
        <v>#N/A</v>
      </c>
      <c r="Y95" s="13" t="e">
        <f t="shared" si="46"/>
        <v>#N/A</v>
      </c>
      <c r="Z95" s="13" t="e">
        <f t="shared" si="46"/>
        <v>#N/A</v>
      </c>
      <c r="AA95" s="13" t="e">
        <f t="shared" si="46"/>
        <v>#N/A</v>
      </c>
      <c r="AB95" s="13" t="e">
        <f t="shared" si="46"/>
        <v>#N/A</v>
      </c>
      <c r="AC95" s="13" t="e">
        <f t="shared" si="46"/>
        <v>#N/A</v>
      </c>
      <c r="AD95" s="13" t="e">
        <f t="shared" si="46"/>
        <v>#N/A</v>
      </c>
      <c r="AE95" s="13" t="e">
        <f t="shared" si="46"/>
        <v>#N/A</v>
      </c>
      <c r="AF95" s="13" t="e">
        <f t="shared" si="46"/>
        <v>#N/A</v>
      </c>
      <c r="AG95" s="13" t="e">
        <f t="shared" si="46"/>
        <v>#N/A</v>
      </c>
      <c r="AH95" s="13" t="e">
        <f t="shared" si="46"/>
        <v>#N/A</v>
      </c>
      <c r="AI95" s="13" t="e">
        <f t="shared" si="46"/>
        <v>#N/A</v>
      </c>
      <c r="AJ95" s="13" t="e">
        <f t="shared" si="46"/>
        <v>#N/A</v>
      </c>
      <c r="AK95" s="13" t="e">
        <f t="shared" si="46"/>
        <v>#N/A</v>
      </c>
      <c r="AL95" s="13" t="e">
        <f t="shared" si="46"/>
        <v>#N/A</v>
      </c>
      <c r="AM95" s="13" t="e">
        <f t="shared" si="46"/>
        <v>#N/A</v>
      </c>
      <c r="AN95" s="13" t="e">
        <f t="shared" si="46"/>
        <v>#N/A</v>
      </c>
      <c r="AO95" s="13" t="e">
        <f t="shared" si="46"/>
        <v>#N/A</v>
      </c>
      <c r="AP95" s="13" t="e">
        <f t="shared" si="46"/>
        <v>#N/A</v>
      </c>
      <c r="AQ95" s="13" t="e">
        <f t="shared" si="46"/>
        <v>#N/A</v>
      </c>
      <c r="AR95" s="13" t="e">
        <f t="shared" si="46"/>
        <v>#N/A</v>
      </c>
      <c r="AS95" s="13" t="e">
        <f t="shared" si="46"/>
        <v>#N/A</v>
      </c>
      <c r="AT95" s="13" t="e">
        <f t="shared" si="46"/>
        <v>#N/A</v>
      </c>
      <c r="AU95" s="13" t="e">
        <f t="shared" si="46"/>
        <v>#N/A</v>
      </c>
      <c r="AV95" s="13" t="e">
        <f t="shared" si="46"/>
        <v>#N/A</v>
      </c>
      <c r="AW95" s="13" t="e">
        <f t="shared" si="46"/>
        <v>#N/A</v>
      </c>
      <c r="AX95" s="13" t="e">
        <f t="shared" si="46"/>
        <v>#N/A</v>
      </c>
      <c r="AY95" s="13" t="e">
        <f t="shared" si="46"/>
        <v>#N/A</v>
      </c>
      <c r="AZ95" s="13" t="e">
        <f t="shared" si="46"/>
        <v>#N/A</v>
      </c>
      <c r="BA95" s="13" t="e">
        <f t="shared" si="46"/>
        <v>#N/A</v>
      </c>
      <c r="BB95" s="13" t="e">
        <f t="shared" si="46"/>
        <v>#N/A</v>
      </c>
      <c r="BC95" s="13" t="e">
        <f t="shared" si="46"/>
        <v>#N/A</v>
      </c>
      <c r="BD95" s="13" t="e">
        <f t="shared" si="46"/>
        <v>#N/A</v>
      </c>
      <c r="BE95" s="13" t="e">
        <f t="shared" si="46"/>
        <v>#N/A</v>
      </c>
      <c r="BF95" s="13" t="e">
        <f t="shared" si="46"/>
        <v>#N/A</v>
      </c>
      <c r="BG95" s="13" t="e">
        <f t="shared" si="46"/>
        <v>#N/A</v>
      </c>
      <c r="BH95" s="13" t="e">
        <f t="shared" si="46"/>
        <v>#N/A</v>
      </c>
      <c r="BI95" s="13" t="e">
        <f t="shared" si="46"/>
        <v>#N/A</v>
      </c>
      <c r="BJ95" s="13" t="e">
        <f t="shared" si="46"/>
        <v>#N/A</v>
      </c>
      <c r="BK95" s="13" t="e">
        <f t="shared" si="46"/>
        <v>#N/A</v>
      </c>
      <c r="BL95" s="13" t="e">
        <f t="shared" si="46"/>
        <v>#N/A</v>
      </c>
      <c r="BM95" s="13" t="e">
        <f t="shared" si="46"/>
        <v>#N/A</v>
      </c>
      <c r="BN95" s="13" t="e">
        <f t="shared" si="46"/>
        <v>#N/A</v>
      </c>
      <c r="BO95" s="13" t="e">
        <f t="shared" si="46"/>
        <v>#N/A</v>
      </c>
      <c r="BP95" s="13" t="e">
        <f t="shared" si="46"/>
        <v>#N/A</v>
      </c>
      <c r="BQ95" s="13" t="e">
        <f t="shared" si="46"/>
        <v>#N/A</v>
      </c>
    </row>
    <row r="96" spans="1:69" outlineLevel="1"/>
    <row r="97" spans="1:69" outlineLevel="1"/>
    <row r="98" spans="1:69" outlineLevel="1">
      <c r="B98" s="25" t="s">
        <v>170</v>
      </c>
    </row>
    <row r="99" spans="1:69" outlineLevel="2">
      <c r="E99" s="2" t="str">
        <f t="shared" ref="E99:BQ99" si="47" xml:space="preserve">  E$24</f>
        <v>Timeline label</v>
      </c>
      <c r="F99" s="2">
        <f t="shared" si="47"/>
        <v>0</v>
      </c>
      <c r="G99" s="2" t="str">
        <f t="shared" si="47"/>
        <v>GBP</v>
      </c>
      <c r="H99" s="2">
        <f t="shared" si="47"/>
        <v>0</v>
      </c>
      <c r="I99" s="2">
        <f t="shared" si="47"/>
        <v>0</v>
      </c>
      <c r="J99" s="2" t="str">
        <f t="shared" si="47"/>
        <v>Month1</v>
      </c>
      <c r="K99" s="2" t="str">
        <f t="shared" si="47"/>
        <v>Month2</v>
      </c>
      <c r="L99" s="2" t="str">
        <f t="shared" si="47"/>
        <v>Month3</v>
      </c>
      <c r="M99" s="2" t="str">
        <f t="shared" si="47"/>
        <v>Month4</v>
      </c>
      <c r="N99" s="2" t="str">
        <f t="shared" si="47"/>
        <v>Month5</v>
      </c>
      <c r="O99" s="2" t="str">
        <f t="shared" si="47"/>
        <v>Month6</v>
      </c>
      <c r="P99" s="2" t="str">
        <f t="shared" si="47"/>
        <v>Month7</v>
      </c>
      <c r="Q99" s="2" t="str">
        <f t="shared" si="47"/>
        <v>Month8</v>
      </c>
      <c r="R99" s="2" t="str">
        <f t="shared" si="47"/>
        <v>Month9</v>
      </c>
      <c r="S99" s="2" t="str">
        <f t="shared" si="47"/>
        <v>Month10</v>
      </c>
      <c r="T99" s="2" t="str">
        <f t="shared" si="47"/>
        <v>Month11</v>
      </c>
      <c r="U99" s="2" t="str">
        <f t="shared" si="47"/>
        <v>Month12</v>
      </c>
      <c r="V99" s="2" t="str">
        <f t="shared" si="47"/>
        <v>Month13</v>
      </c>
      <c r="W99" s="2" t="str">
        <f t="shared" si="47"/>
        <v>Month14</v>
      </c>
      <c r="X99" s="2" t="str">
        <f t="shared" si="47"/>
        <v>Month15</v>
      </c>
      <c r="Y99" s="2" t="str">
        <f t="shared" si="47"/>
        <v>Month16</v>
      </c>
      <c r="Z99" s="2" t="str">
        <f t="shared" si="47"/>
        <v>Month17</v>
      </c>
      <c r="AA99" s="2" t="str">
        <f t="shared" si="47"/>
        <v>Month18</v>
      </c>
      <c r="AB99" s="2" t="str">
        <f t="shared" si="47"/>
        <v>Month19</v>
      </c>
      <c r="AC99" s="2" t="str">
        <f t="shared" si="47"/>
        <v>Month20</v>
      </c>
      <c r="AD99" s="2" t="str">
        <f t="shared" si="47"/>
        <v>Month21</v>
      </c>
      <c r="AE99" s="2" t="str">
        <f t="shared" si="47"/>
        <v>Month22</v>
      </c>
      <c r="AF99" s="2" t="str">
        <f t="shared" si="47"/>
        <v>Month23</v>
      </c>
      <c r="AG99" s="2" t="str">
        <f t="shared" si="47"/>
        <v>Month24</v>
      </c>
      <c r="AH99" s="2" t="str">
        <f t="shared" si="47"/>
        <v>Month25</v>
      </c>
      <c r="AI99" s="2" t="str">
        <f t="shared" si="47"/>
        <v>Month26</v>
      </c>
      <c r="AJ99" s="2" t="str">
        <f t="shared" si="47"/>
        <v>Month27</v>
      </c>
      <c r="AK99" s="2" t="str">
        <f t="shared" si="47"/>
        <v>Month28</v>
      </c>
      <c r="AL99" s="2" t="str">
        <f t="shared" si="47"/>
        <v>Month29</v>
      </c>
      <c r="AM99" s="2" t="str">
        <f t="shared" si="47"/>
        <v>Month30</v>
      </c>
      <c r="AN99" s="2" t="str">
        <f t="shared" si="47"/>
        <v>Month31</v>
      </c>
      <c r="AO99" s="2" t="str">
        <f t="shared" si="47"/>
        <v>Month32</v>
      </c>
      <c r="AP99" s="2" t="str">
        <f t="shared" si="47"/>
        <v>Month33</v>
      </c>
      <c r="AQ99" s="2" t="str">
        <f t="shared" si="47"/>
        <v>Month34</v>
      </c>
      <c r="AR99" s="2" t="str">
        <f t="shared" si="47"/>
        <v>Month35</v>
      </c>
      <c r="AS99" s="2" t="str">
        <f t="shared" si="47"/>
        <v>Month36</v>
      </c>
      <c r="AT99" s="2" t="str">
        <f t="shared" si="47"/>
        <v>Month37</v>
      </c>
      <c r="AU99" s="2" t="str">
        <f t="shared" si="47"/>
        <v>Month38</v>
      </c>
      <c r="AV99" s="2" t="str">
        <f t="shared" si="47"/>
        <v>Month39</v>
      </c>
      <c r="AW99" s="2" t="str">
        <f t="shared" si="47"/>
        <v>Month40</v>
      </c>
      <c r="AX99" s="2" t="str">
        <f t="shared" si="47"/>
        <v>Month41</v>
      </c>
      <c r="AY99" s="2" t="str">
        <f t="shared" si="47"/>
        <v>Month42</v>
      </c>
      <c r="AZ99" s="2" t="str">
        <f t="shared" si="47"/>
        <v>Month43</v>
      </c>
      <c r="BA99" s="2" t="str">
        <f t="shared" si="47"/>
        <v>Month44</v>
      </c>
      <c r="BB99" s="2" t="str">
        <f t="shared" si="47"/>
        <v>Month45</v>
      </c>
      <c r="BC99" s="2" t="str">
        <f t="shared" si="47"/>
        <v>Month46</v>
      </c>
      <c r="BD99" s="2" t="str">
        <f t="shared" si="47"/>
        <v>Month47</v>
      </c>
      <c r="BE99" s="2" t="str">
        <f t="shared" si="47"/>
        <v>Month48</v>
      </c>
      <c r="BF99" s="2" t="str">
        <f t="shared" si="47"/>
        <v>Month49</v>
      </c>
      <c r="BG99" s="2" t="str">
        <f t="shared" si="47"/>
        <v>Month50</v>
      </c>
      <c r="BH99" s="2" t="str">
        <f t="shared" si="47"/>
        <v>Month51</v>
      </c>
      <c r="BI99" s="2" t="str">
        <f t="shared" si="47"/>
        <v>Month52</v>
      </c>
      <c r="BJ99" s="2" t="str">
        <f t="shared" si="47"/>
        <v>Month53</v>
      </c>
      <c r="BK99" s="2" t="str">
        <f t="shared" si="47"/>
        <v>Month54</v>
      </c>
      <c r="BL99" s="2" t="str">
        <f t="shared" si="47"/>
        <v>Month55</v>
      </c>
      <c r="BM99" s="2" t="str">
        <f t="shared" si="47"/>
        <v>Month56</v>
      </c>
      <c r="BN99" s="2" t="str">
        <f t="shared" si="47"/>
        <v>Month57</v>
      </c>
      <c r="BO99" s="2" t="str">
        <f t="shared" si="47"/>
        <v>Month58</v>
      </c>
      <c r="BP99" s="2" t="str">
        <f t="shared" si="47"/>
        <v>Month59</v>
      </c>
      <c r="BQ99" s="2" t="str">
        <f t="shared" si="47"/>
        <v>Month60</v>
      </c>
    </row>
    <row r="100" spans="1:69" outlineLevel="2">
      <c r="E100" s="5" t="str">
        <f t="shared" ref="E100:BQ100" si="48" xml:space="preserve">  E$28</f>
        <v>Period number</v>
      </c>
      <c r="F100" s="5">
        <f t="shared" si="48"/>
        <v>0</v>
      </c>
      <c r="G100" s="5" t="str">
        <f t="shared" si="48"/>
        <v>Counter</v>
      </c>
      <c r="H100" s="5">
        <f t="shared" si="48"/>
        <v>0</v>
      </c>
      <c r="I100" s="5">
        <f t="shared" si="48"/>
        <v>0</v>
      </c>
      <c r="J100" s="5">
        <f t="shared" si="48"/>
        <v>1</v>
      </c>
      <c r="K100" s="5">
        <f t="shared" si="48"/>
        <v>2</v>
      </c>
      <c r="L100" s="5">
        <f t="shared" si="48"/>
        <v>3</v>
      </c>
      <c r="M100" s="5">
        <f t="shared" si="48"/>
        <v>4</v>
      </c>
      <c r="N100" s="5">
        <f t="shared" si="48"/>
        <v>5</v>
      </c>
      <c r="O100" s="5">
        <f t="shared" si="48"/>
        <v>6</v>
      </c>
      <c r="P100" s="5">
        <f t="shared" si="48"/>
        <v>7</v>
      </c>
      <c r="Q100" s="5">
        <f t="shared" si="48"/>
        <v>8</v>
      </c>
      <c r="R100" s="5">
        <f t="shared" si="48"/>
        <v>9</v>
      </c>
      <c r="S100" s="5">
        <f t="shared" si="48"/>
        <v>10</v>
      </c>
      <c r="T100" s="5">
        <f t="shared" si="48"/>
        <v>11</v>
      </c>
      <c r="U100" s="5">
        <f t="shared" si="48"/>
        <v>12</v>
      </c>
      <c r="V100" s="5">
        <f t="shared" si="48"/>
        <v>13</v>
      </c>
      <c r="W100" s="5">
        <f t="shared" si="48"/>
        <v>14</v>
      </c>
      <c r="X100" s="5">
        <f t="shared" si="48"/>
        <v>15</v>
      </c>
      <c r="Y100" s="5">
        <f t="shared" si="48"/>
        <v>16</v>
      </c>
      <c r="Z100" s="5">
        <f t="shared" si="48"/>
        <v>17</v>
      </c>
      <c r="AA100" s="5">
        <f t="shared" si="48"/>
        <v>18</v>
      </c>
      <c r="AB100" s="5">
        <f t="shared" si="48"/>
        <v>19</v>
      </c>
      <c r="AC100" s="5">
        <f t="shared" si="48"/>
        <v>20</v>
      </c>
      <c r="AD100" s="5">
        <f t="shared" si="48"/>
        <v>21</v>
      </c>
      <c r="AE100" s="5">
        <f t="shared" si="48"/>
        <v>22</v>
      </c>
      <c r="AF100" s="5">
        <f t="shared" si="48"/>
        <v>23</v>
      </c>
      <c r="AG100" s="5">
        <f t="shared" si="48"/>
        <v>24</v>
      </c>
      <c r="AH100" s="5">
        <f t="shared" si="48"/>
        <v>25</v>
      </c>
      <c r="AI100" s="5">
        <f t="shared" si="48"/>
        <v>26</v>
      </c>
      <c r="AJ100" s="5">
        <f t="shared" si="48"/>
        <v>27</v>
      </c>
      <c r="AK100" s="5">
        <f t="shared" si="48"/>
        <v>28</v>
      </c>
      <c r="AL100" s="5">
        <f t="shared" si="48"/>
        <v>29</v>
      </c>
      <c r="AM100" s="5">
        <f t="shared" si="48"/>
        <v>30</v>
      </c>
      <c r="AN100" s="5">
        <f t="shared" si="48"/>
        <v>31</v>
      </c>
      <c r="AO100" s="5">
        <f t="shared" si="48"/>
        <v>32</v>
      </c>
      <c r="AP100" s="5">
        <f t="shared" si="48"/>
        <v>33</v>
      </c>
      <c r="AQ100" s="5">
        <f t="shared" si="48"/>
        <v>34</v>
      </c>
      <c r="AR100" s="5">
        <f t="shared" si="48"/>
        <v>35</v>
      </c>
      <c r="AS100" s="5">
        <f t="shared" si="48"/>
        <v>36</v>
      </c>
      <c r="AT100" s="5">
        <f t="shared" si="48"/>
        <v>37</v>
      </c>
      <c r="AU100" s="5">
        <f t="shared" si="48"/>
        <v>38</v>
      </c>
      <c r="AV100" s="5">
        <f t="shared" si="48"/>
        <v>39</v>
      </c>
      <c r="AW100" s="5">
        <f t="shared" si="48"/>
        <v>40</v>
      </c>
      <c r="AX100" s="5">
        <f t="shared" si="48"/>
        <v>41</v>
      </c>
      <c r="AY100" s="5">
        <f t="shared" si="48"/>
        <v>42</v>
      </c>
      <c r="AZ100" s="5">
        <f t="shared" si="48"/>
        <v>43</v>
      </c>
      <c r="BA100" s="5">
        <f t="shared" si="48"/>
        <v>44</v>
      </c>
      <c r="BB100" s="5">
        <f t="shared" si="48"/>
        <v>45</v>
      </c>
      <c r="BC100" s="5">
        <f t="shared" si="48"/>
        <v>46</v>
      </c>
      <c r="BD100" s="5">
        <f t="shared" si="48"/>
        <v>47</v>
      </c>
      <c r="BE100" s="5">
        <f t="shared" si="48"/>
        <v>48</v>
      </c>
      <c r="BF100" s="5">
        <f t="shared" si="48"/>
        <v>49</v>
      </c>
      <c r="BG100" s="5">
        <f t="shared" si="48"/>
        <v>50</v>
      </c>
      <c r="BH100" s="5">
        <f t="shared" si="48"/>
        <v>51</v>
      </c>
      <c r="BI100" s="5">
        <f t="shared" si="48"/>
        <v>52</v>
      </c>
      <c r="BJ100" s="5">
        <f t="shared" si="48"/>
        <v>53</v>
      </c>
      <c r="BK100" s="5">
        <f t="shared" si="48"/>
        <v>54</v>
      </c>
      <c r="BL100" s="5">
        <f t="shared" si="48"/>
        <v>55</v>
      </c>
      <c r="BM100" s="5">
        <f t="shared" si="48"/>
        <v>56</v>
      </c>
      <c r="BN100" s="5">
        <f t="shared" si="48"/>
        <v>57</v>
      </c>
      <c r="BO100" s="5">
        <f t="shared" si="48"/>
        <v>58</v>
      </c>
      <c r="BP100" s="5">
        <f t="shared" si="48"/>
        <v>59</v>
      </c>
      <c r="BQ100" s="5">
        <f t="shared" si="48"/>
        <v>60</v>
      </c>
    </row>
    <row r="101" spans="1:69" outlineLevel="2">
      <c r="E101" s="5" t="str">
        <f t="shared" ref="E101:BQ101" si="49" xml:space="preserve">  E$352</f>
        <v>Month to SemiAnnual : period end flag</v>
      </c>
      <c r="F101" s="5">
        <f t="shared" si="49"/>
        <v>0</v>
      </c>
      <c r="G101" s="5" t="str">
        <f t="shared" si="49"/>
        <v>counter</v>
      </c>
      <c r="H101" s="5">
        <f t="shared" si="49"/>
        <v>0</v>
      </c>
      <c r="I101" s="5">
        <f t="shared" si="49"/>
        <v>0</v>
      </c>
      <c r="J101" s="5">
        <f t="shared" si="49"/>
        <v>0</v>
      </c>
      <c r="K101" s="5">
        <f t="shared" si="49"/>
        <v>0</v>
      </c>
      <c r="L101" s="5">
        <f t="shared" si="49"/>
        <v>0</v>
      </c>
      <c r="M101" s="5">
        <f t="shared" si="49"/>
        <v>0</v>
      </c>
      <c r="N101" s="5">
        <f t="shared" si="49"/>
        <v>0</v>
      </c>
      <c r="O101" s="5">
        <f t="shared" si="49"/>
        <v>1</v>
      </c>
      <c r="P101" s="5">
        <f t="shared" si="49"/>
        <v>0</v>
      </c>
      <c r="Q101" s="5">
        <f t="shared" si="49"/>
        <v>0</v>
      </c>
      <c r="R101" s="5">
        <f t="shared" si="49"/>
        <v>0</v>
      </c>
      <c r="S101" s="5">
        <f t="shared" si="49"/>
        <v>0</v>
      </c>
      <c r="T101" s="5">
        <f t="shared" si="49"/>
        <v>0</v>
      </c>
      <c r="U101" s="5">
        <f t="shared" si="49"/>
        <v>2</v>
      </c>
      <c r="V101" s="5">
        <f t="shared" si="49"/>
        <v>0</v>
      </c>
      <c r="W101" s="5">
        <f t="shared" si="49"/>
        <v>0</v>
      </c>
      <c r="X101" s="5">
        <f t="shared" si="49"/>
        <v>0</v>
      </c>
      <c r="Y101" s="5">
        <f t="shared" si="49"/>
        <v>0</v>
      </c>
      <c r="Z101" s="5">
        <f t="shared" si="49"/>
        <v>0</v>
      </c>
      <c r="AA101" s="5">
        <f t="shared" si="49"/>
        <v>3</v>
      </c>
      <c r="AB101" s="5">
        <f t="shared" si="49"/>
        <v>0</v>
      </c>
      <c r="AC101" s="5">
        <f t="shared" si="49"/>
        <v>0</v>
      </c>
      <c r="AD101" s="5">
        <f t="shared" si="49"/>
        <v>0</v>
      </c>
      <c r="AE101" s="5">
        <f t="shared" si="49"/>
        <v>0</v>
      </c>
      <c r="AF101" s="5">
        <f t="shared" si="49"/>
        <v>0</v>
      </c>
      <c r="AG101" s="5">
        <f t="shared" si="49"/>
        <v>4</v>
      </c>
      <c r="AH101" s="5">
        <f t="shared" si="49"/>
        <v>0</v>
      </c>
      <c r="AI101" s="5">
        <f t="shared" si="49"/>
        <v>0</v>
      </c>
      <c r="AJ101" s="5">
        <f t="shared" si="49"/>
        <v>0</v>
      </c>
      <c r="AK101" s="5">
        <f t="shared" si="49"/>
        <v>0</v>
      </c>
      <c r="AL101" s="5">
        <f t="shared" si="49"/>
        <v>0</v>
      </c>
      <c r="AM101" s="5">
        <f t="shared" si="49"/>
        <v>5</v>
      </c>
      <c r="AN101" s="5">
        <f t="shared" si="49"/>
        <v>0</v>
      </c>
      <c r="AO101" s="5">
        <f t="shared" si="49"/>
        <v>0</v>
      </c>
      <c r="AP101" s="5">
        <f t="shared" si="49"/>
        <v>0</v>
      </c>
      <c r="AQ101" s="5">
        <f t="shared" si="49"/>
        <v>0</v>
      </c>
      <c r="AR101" s="5">
        <f t="shared" si="49"/>
        <v>0</v>
      </c>
      <c r="AS101" s="5">
        <f t="shared" si="49"/>
        <v>6</v>
      </c>
      <c r="AT101" s="5">
        <f t="shared" si="49"/>
        <v>0</v>
      </c>
      <c r="AU101" s="5">
        <f t="shared" si="49"/>
        <v>0</v>
      </c>
      <c r="AV101" s="5">
        <f t="shared" si="49"/>
        <v>0</v>
      </c>
      <c r="AW101" s="5">
        <f t="shared" si="49"/>
        <v>0</v>
      </c>
      <c r="AX101" s="5">
        <f t="shared" si="49"/>
        <v>0</v>
      </c>
      <c r="AY101" s="5">
        <f t="shared" si="49"/>
        <v>7</v>
      </c>
      <c r="AZ101" s="5">
        <f t="shared" si="49"/>
        <v>0</v>
      </c>
      <c r="BA101" s="5">
        <f t="shared" si="49"/>
        <v>0</v>
      </c>
      <c r="BB101" s="5">
        <f t="shared" si="49"/>
        <v>0</v>
      </c>
      <c r="BC101" s="5">
        <f t="shared" si="49"/>
        <v>0</v>
      </c>
      <c r="BD101" s="5">
        <f t="shared" si="49"/>
        <v>0</v>
      </c>
      <c r="BE101" s="5">
        <f t="shared" si="49"/>
        <v>8</v>
      </c>
      <c r="BF101" s="5">
        <f t="shared" si="49"/>
        <v>0</v>
      </c>
      <c r="BG101" s="5">
        <f t="shared" si="49"/>
        <v>0</v>
      </c>
      <c r="BH101" s="5">
        <f t="shared" si="49"/>
        <v>0</v>
      </c>
      <c r="BI101" s="5">
        <f t="shared" si="49"/>
        <v>0</v>
      </c>
      <c r="BJ101" s="5">
        <f t="shared" si="49"/>
        <v>0</v>
      </c>
      <c r="BK101" s="5">
        <f t="shared" si="49"/>
        <v>9</v>
      </c>
      <c r="BL101" s="5">
        <f t="shared" si="49"/>
        <v>0</v>
      </c>
      <c r="BM101" s="5">
        <f t="shared" si="49"/>
        <v>0</v>
      </c>
      <c r="BN101" s="5">
        <f t="shared" si="49"/>
        <v>0</v>
      </c>
      <c r="BO101" s="5">
        <f t="shared" si="49"/>
        <v>0</v>
      </c>
      <c r="BP101" s="5">
        <f t="shared" si="49"/>
        <v>0</v>
      </c>
      <c r="BQ101" s="5">
        <f t="shared" si="49"/>
        <v>10</v>
      </c>
    </row>
    <row r="102" spans="1:69" outlineLevel="2">
      <c r="A102" s="34"/>
      <c r="B102" s="34"/>
      <c r="C102" s="64"/>
      <c r="D102" s="65"/>
      <c r="E102" s="21" t="s">
        <v>170</v>
      </c>
      <c r="F102" s="21"/>
      <c r="G102" s="21" t="s">
        <v>257</v>
      </c>
      <c r="H102" s="3" t="e">
        <f xml:space="preserve"> SUM( J102:BQ102 )</f>
        <v>#N/A</v>
      </c>
      <c r="I102" s="21"/>
      <c r="J102" s="3" t="str">
        <f t="shared" ref="J102:BQ102" si="50" xml:space="preserve">  INDEX( $J99:$BQ99, MATCH( J100, $J101:$BQ101, 0 ) )</f>
        <v>Month6</v>
      </c>
      <c r="K102" s="3" t="str">
        <f t="shared" si="50"/>
        <v>Month12</v>
      </c>
      <c r="L102" s="3" t="str">
        <f t="shared" si="50"/>
        <v>Month18</v>
      </c>
      <c r="M102" s="3" t="str">
        <f t="shared" si="50"/>
        <v>Month24</v>
      </c>
      <c r="N102" s="3" t="str">
        <f t="shared" si="50"/>
        <v>Month30</v>
      </c>
      <c r="O102" s="3" t="str">
        <f t="shared" si="50"/>
        <v>Month36</v>
      </c>
      <c r="P102" s="3" t="str">
        <f t="shared" si="50"/>
        <v>Month42</v>
      </c>
      <c r="Q102" s="3" t="str">
        <f t="shared" si="50"/>
        <v>Month48</v>
      </c>
      <c r="R102" s="3" t="str">
        <f t="shared" si="50"/>
        <v>Month54</v>
      </c>
      <c r="S102" s="3" t="str">
        <f t="shared" si="50"/>
        <v>Month60</v>
      </c>
      <c r="T102" s="3" t="e">
        <f t="shared" si="50"/>
        <v>#N/A</v>
      </c>
      <c r="U102" s="3" t="e">
        <f t="shared" si="50"/>
        <v>#N/A</v>
      </c>
      <c r="V102" s="3" t="e">
        <f t="shared" si="50"/>
        <v>#N/A</v>
      </c>
      <c r="W102" s="3" t="e">
        <f t="shared" si="50"/>
        <v>#N/A</v>
      </c>
      <c r="X102" s="3" t="e">
        <f t="shared" si="50"/>
        <v>#N/A</v>
      </c>
      <c r="Y102" s="3" t="e">
        <f t="shared" si="50"/>
        <v>#N/A</v>
      </c>
      <c r="Z102" s="3" t="e">
        <f t="shared" si="50"/>
        <v>#N/A</v>
      </c>
      <c r="AA102" s="3" t="e">
        <f t="shared" si="50"/>
        <v>#N/A</v>
      </c>
      <c r="AB102" s="3" t="e">
        <f t="shared" si="50"/>
        <v>#N/A</v>
      </c>
      <c r="AC102" s="3" t="e">
        <f t="shared" si="50"/>
        <v>#N/A</v>
      </c>
      <c r="AD102" s="3" t="e">
        <f t="shared" si="50"/>
        <v>#N/A</v>
      </c>
      <c r="AE102" s="3" t="e">
        <f t="shared" si="50"/>
        <v>#N/A</v>
      </c>
      <c r="AF102" s="3" t="e">
        <f t="shared" si="50"/>
        <v>#N/A</v>
      </c>
      <c r="AG102" s="3" t="e">
        <f t="shared" si="50"/>
        <v>#N/A</v>
      </c>
      <c r="AH102" s="3" t="e">
        <f t="shared" si="50"/>
        <v>#N/A</v>
      </c>
      <c r="AI102" s="3" t="e">
        <f t="shared" si="50"/>
        <v>#N/A</v>
      </c>
      <c r="AJ102" s="3" t="e">
        <f t="shared" si="50"/>
        <v>#N/A</v>
      </c>
      <c r="AK102" s="3" t="e">
        <f t="shared" si="50"/>
        <v>#N/A</v>
      </c>
      <c r="AL102" s="3" t="e">
        <f t="shared" si="50"/>
        <v>#N/A</v>
      </c>
      <c r="AM102" s="3" t="e">
        <f t="shared" si="50"/>
        <v>#N/A</v>
      </c>
      <c r="AN102" s="3" t="e">
        <f t="shared" si="50"/>
        <v>#N/A</v>
      </c>
      <c r="AO102" s="3" t="e">
        <f t="shared" si="50"/>
        <v>#N/A</v>
      </c>
      <c r="AP102" s="3" t="e">
        <f t="shared" si="50"/>
        <v>#N/A</v>
      </c>
      <c r="AQ102" s="3" t="e">
        <f t="shared" si="50"/>
        <v>#N/A</v>
      </c>
      <c r="AR102" s="3" t="e">
        <f t="shared" si="50"/>
        <v>#N/A</v>
      </c>
      <c r="AS102" s="3" t="e">
        <f t="shared" si="50"/>
        <v>#N/A</v>
      </c>
      <c r="AT102" s="3" t="e">
        <f t="shared" si="50"/>
        <v>#N/A</v>
      </c>
      <c r="AU102" s="3" t="e">
        <f t="shared" si="50"/>
        <v>#N/A</v>
      </c>
      <c r="AV102" s="3" t="e">
        <f t="shared" si="50"/>
        <v>#N/A</v>
      </c>
      <c r="AW102" s="3" t="e">
        <f t="shared" si="50"/>
        <v>#N/A</v>
      </c>
      <c r="AX102" s="3" t="e">
        <f t="shared" si="50"/>
        <v>#N/A</v>
      </c>
      <c r="AY102" s="3" t="e">
        <f t="shared" si="50"/>
        <v>#N/A</v>
      </c>
      <c r="AZ102" s="3" t="e">
        <f t="shared" si="50"/>
        <v>#N/A</v>
      </c>
      <c r="BA102" s="3" t="e">
        <f t="shared" si="50"/>
        <v>#N/A</v>
      </c>
      <c r="BB102" s="3" t="e">
        <f t="shared" si="50"/>
        <v>#N/A</v>
      </c>
      <c r="BC102" s="3" t="e">
        <f t="shared" si="50"/>
        <v>#N/A</v>
      </c>
      <c r="BD102" s="3" t="e">
        <f t="shared" si="50"/>
        <v>#N/A</v>
      </c>
      <c r="BE102" s="3" t="e">
        <f t="shared" si="50"/>
        <v>#N/A</v>
      </c>
      <c r="BF102" s="3" t="e">
        <f t="shared" si="50"/>
        <v>#N/A</v>
      </c>
      <c r="BG102" s="3" t="e">
        <f t="shared" si="50"/>
        <v>#N/A</v>
      </c>
      <c r="BH102" s="3" t="e">
        <f t="shared" si="50"/>
        <v>#N/A</v>
      </c>
      <c r="BI102" s="3" t="e">
        <f t="shared" si="50"/>
        <v>#N/A</v>
      </c>
      <c r="BJ102" s="3" t="e">
        <f t="shared" si="50"/>
        <v>#N/A</v>
      </c>
      <c r="BK102" s="3" t="e">
        <f t="shared" si="50"/>
        <v>#N/A</v>
      </c>
      <c r="BL102" s="3" t="e">
        <f t="shared" si="50"/>
        <v>#N/A</v>
      </c>
      <c r="BM102" s="3" t="e">
        <f t="shared" si="50"/>
        <v>#N/A</v>
      </c>
      <c r="BN102" s="3" t="e">
        <f t="shared" si="50"/>
        <v>#N/A</v>
      </c>
      <c r="BO102" s="3" t="e">
        <f t="shared" si="50"/>
        <v>#N/A</v>
      </c>
      <c r="BP102" s="3" t="e">
        <f t="shared" si="50"/>
        <v>#N/A</v>
      </c>
      <c r="BQ102" s="3" t="e">
        <f t="shared" si="50"/>
        <v>#N/A</v>
      </c>
    </row>
    <row r="103" spans="1:69" outlineLevel="1"/>
    <row r="104" spans="1:69" outlineLevel="1"/>
    <row r="105" spans="1:69" outlineLevel="1">
      <c r="B105" s="25" t="s">
        <v>239</v>
      </c>
    </row>
    <row r="106" spans="1:69" outlineLevel="2">
      <c r="E106" s="5" t="str">
        <f t="shared" ref="E106:BQ106" si="51" xml:space="preserve">  E$28</f>
        <v>Period number</v>
      </c>
      <c r="F106" s="5">
        <f t="shared" si="51"/>
        <v>0</v>
      </c>
      <c r="G106" s="5" t="str">
        <f t="shared" si="51"/>
        <v>Counter</v>
      </c>
      <c r="H106" s="5">
        <f t="shared" si="51"/>
        <v>0</v>
      </c>
      <c r="I106" s="5">
        <f t="shared" si="51"/>
        <v>0</v>
      </c>
      <c r="J106" s="5">
        <f t="shared" si="51"/>
        <v>1</v>
      </c>
      <c r="K106" s="5">
        <f t="shared" si="51"/>
        <v>2</v>
      </c>
      <c r="L106" s="5">
        <f t="shared" si="51"/>
        <v>3</v>
      </c>
      <c r="M106" s="5">
        <f t="shared" si="51"/>
        <v>4</v>
      </c>
      <c r="N106" s="5">
        <f t="shared" si="51"/>
        <v>5</v>
      </c>
      <c r="O106" s="5">
        <f t="shared" si="51"/>
        <v>6</v>
      </c>
      <c r="P106" s="5">
        <f t="shared" si="51"/>
        <v>7</v>
      </c>
      <c r="Q106" s="5">
        <f t="shared" si="51"/>
        <v>8</v>
      </c>
      <c r="R106" s="5">
        <f t="shared" si="51"/>
        <v>9</v>
      </c>
      <c r="S106" s="5">
        <f t="shared" si="51"/>
        <v>10</v>
      </c>
      <c r="T106" s="5">
        <f t="shared" si="51"/>
        <v>11</v>
      </c>
      <c r="U106" s="5">
        <f t="shared" si="51"/>
        <v>12</v>
      </c>
      <c r="V106" s="5">
        <f t="shared" si="51"/>
        <v>13</v>
      </c>
      <c r="W106" s="5">
        <f t="shared" si="51"/>
        <v>14</v>
      </c>
      <c r="X106" s="5">
        <f t="shared" si="51"/>
        <v>15</v>
      </c>
      <c r="Y106" s="5">
        <f t="shared" si="51"/>
        <v>16</v>
      </c>
      <c r="Z106" s="5">
        <f t="shared" si="51"/>
        <v>17</v>
      </c>
      <c r="AA106" s="5">
        <f t="shared" si="51"/>
        <v>18</v>
      </c>
      <c r="AB106" s="5">
        <f t="shared" si="51"/>
        <v>19</v>
      </c>
      <c r="AC106" s="5">
        <f t="shared" si="51"/>
        <v>20</v>
      </c>
      <c r="AD106" s="5">
        <f t="shared" si="51"/>
        <v>21</v>
      </c>
      <c r="AE106" s="5">
        <f t="shared" si="51"/>
        <v>22</v>
      </c>
      <c r="AF106" s="5">
        <f t="shared" si="51"/>
        <v>23</v>
      </c>
      <c r="AG106" s="5">
        <f t="shared" si="51"/>
        <v>24</v>
      </c>
      <c r="AH106" s="5">
        <f t="shared" si="51"/>
        <v>25</v>
      </c>
      <c r="AI106" s="5">
        <f t="shared" si="51"/>
        <v>26</v>
      </c>
      <c r="AJ106" s="5">
        <f t="shared" si="51"/>
        <v>27</v>
      </c>
      <c r="AK106" s="5">
        <f t="shared" si="51"/>
        <v>28</v>
      </c>
      <c r="AL106" s="5">
        <f t="shared" si="51"/>
        <v>29</v>
      </c>
      <c r="AM106" s="5">
        <f t="shared" si="51"/>
        <v>30</v>
      </c>
      <c r="AN106" s="5">
        <f t="shared" si="51"/>
        <v>31</v>
      </c>
      <c r="AO106" s="5">
        <f t="shared" si="51"/>
        <v>32</v>
      </c>
      <c r="AP106" s="5">
        <f t="shared" si="51"/>
        <v>33</v>
      </c>
      <c r="AQ106" s="5">
        <f t="shared" si="51"/>
        <v>34</v>
      </c>
      <c r="AR106" s="5">
        <f t="shared" si="51"/>
        <v>35</v>
      </c>
      <c r="AS106" s="5">
        <f t="shared" si="51"/>
        <v>36</v>
      </c>
      <c r="AT106" s="5">
        <f t="shared" si="51"/>
        <v>37</v>
      </c>
      <c r="AU106" s="5">
        <f t="shared" si="51"/>
        <v>38</v>
      </c>
      <c r="AV106" s="5">
        <f t="shared" si="51"/>
        <v>39</v>
      </c>
      <c r="AW106" s="5">
        <f t="shared" si="51"/>
        <v>40</v>
      </c>
      <c r="AX106" s="5">
        <f t="shared" si="51"/>
        <v>41</v>
      </c>
      <c r="AY106" s="5">
        <f t="shared" si="51"/>
        <v>42</v>
      </c>
      <c r="AZ106" s="5">
        <f t="shared" si="51"/>
        <v>43</v>
      </c>
      <c r="BA106" s="5">
        <f t="shared" si="51"/>
        <v>44</v>
      </c>
      <c r="BB106" s="5">
        <f t="shared" si="51"/>
        <v>45</v>
      </c>
      <c r="BC106" s="5">
        <f t="shared" si="51"/>
        <v>46</v>
      </c>
      <c r="BD106" s="5">
        <f t="shared" si="51"/>
        <v>47</v>
      </c>
      <c r="BE106" s="5">
        <f t="shared" si="51"/>
        <v>48</v>
      </c>
      <c r="BF106" s="5">
        <f t="shared" si="51"/>
        <v>49</v>
      </c>
      <c r="BG106" s="5">
        <f t="shared" si="51"/>
        <v>50</v>
      </c>
      <c r="BH106" s="5">
        <f t="shared" si="51"/>
        <v>51</v>
      </c>
      <c r="BI106" s="5">
        <f t="shared" si="51"/>
        <v>52</v>
      </c>
      <c r="BJ106" s="5">
        <f t="shared" si="51"/>
        <v>53</v>
      </c>
      <c r="BK106" s="5">
        <f t="shared" si="51"/>
        <v>54</v>
      </c>
      <c r="BL106" s="5">
        <f t="shared" si="51"/>
        <v>55</v>
      </c>
      <c r="BM106" s="5">
        <f t="shared" si="51"/>
        <v>56</v>
      </c>
      <c r="BN106" s="5">
        <f t="shared" si="51"/>
        <v>57</v>
      </c>
      <c r="BO106" s="5">
        <f t="shared" si="51"/>
        <v>58</v>
      </c>
      <c r="BP106" s="5">
        <f t="shared" si="51"/>
        <v>59</v>
      </c>
      <c r="BQ106" s="5">
        <f t="shared" si="51"/>
        <v>60</v>
      </c>
    </row>
    <row r="107" spans="1:69" outlineLevel="2">
      <c r="E107" s="5" t="str">
        <f t="shared" ref="E107:BQ107" si="52" xml:space="preserve">  E$352</f>
        <v>Month to SemiAnnual : period end flag</v>
      </c>
      <c r="F107" s="5">
        <f t="shared" si="52"/>
        <v>0</v>
      </c>
      <c r="G107" s="5" t="str">
        <f t="shared" si="52"/>
        <v>counter</v>
      </c>
      <c r="H107" s="5">
        <f t="shared" si="52"/>
        <v>0</v>
      </c>
      <c r="I107" s="5">
        <f t="shared" si="52"/>
        <v>0</v>
      </c>
      <c r="J107" s="5">
        <f t="shared" si="52"/>
        <v>0</v>
      </c>
      <c r="K107" s="5">
        <f t="shared" si="52"/>
        <v>0</v>
      </c>
      <c r="L107" s="5">
        <f t="shared" si="52"/>
        <v>0</v>
      </c>
      <c r="M107" s="5">
        <f t="shared" si="52"/>
        <v>0</v>
      </c>
      <c r="N107" s="5">
        <f t="shared" si="52"/>
        <v>0</v>
      </c>
      <c r="O107" s="5">
        <f t="shared" si="52"/>
        <v>1</v>
      </c>
      <c r="P107" s="5">
        <f t="shared" si="52"/>
        <v>0</v>
      </c>
      <c r="Q107" s="5">
        <f t="shared" si="52"/>
        <v>0</v>
      </c>
      <c r="R107" s="5">
        <f t="shared" si="52"/>
        <v>0</v>
      </c>
      <c r="S107" s="5">
        <f t="shared" si="52"/>
        <v>0</v>
      </c>
      <c r="T107" s="5">
        <f t="shared" si="52"/>
        <v>0</v>
      </c>
      <c r="U107" s="5">
        <f t="shared" si="52"/>
        <v>2</v>
      </c>
      <c r="V107" s="5">
        <f t="shared" si="52"/>
        <v>0</v>
      </c>
      <c r="W107" s="5">
        <f t="shared" si="52"/>
        <v>0</v>
      </c>
      <c r="X107" s="5">
        <f t="shared" si="52"/>
        <v>0</v>
      </c>
      <c r="Y107" s="5">
        <f t="shared" si="52"/>
        <v>0</v>
      </c>
      <c r="Z107" s="5">
        <f t="shared" si="52"/>
        <v>0</v>
      </c>
      <c r="AA107" s="5">
        <f t="shared" si="52"/>
        <v>3</v>
      </c>
      <c r="AB107" s="5">
        <f t="shared" si="52"/>
        <v>0</v>
      </c>
      <c r="AC107" s="5">
        <f t="shared" si="52"/>
        <v>0</v>
      </c>
      <c r="AD107" s="5">
        <f t="shared" si="52"/>
        <v>0</v>
      </c>
      <c r="AE107" s="5">
        <f t="shared" si="52"/>
        <v>0</v>
      </c>
      <c r="AF107" s="5">
        <f t="shared" si="52"/>
        <v>0</v>
      </c>
      <c r="AG107" s="5">
        <f t="shared" si="52"/>
        <v>4</v>
      </c>
      <c r="AH107" s="5">
        <f t="shared" si="52"/>
        <v>0</v>
      </c>
      <c r="AI107" s="5">
        <f t="shared" si="52"/>
        <v>0</v>
      </c>
      <c r="AJ107" s="5">
        <f t="shared" si="52"/>
        <v>0</v>
      </c>
      <c r="AK107" s="5">
        <f t="shared" si="52"/>
        <v>0</v>
      </c>
      <c r="AL107" s="5">
        <f t="shared" si="52"/>
        <v>0</v>
      </c>
      <c r="AM107" s="5">
        <f t="shared" si="52"/>
        <v>5</v>
      </c>
      <c r="AN107" s="5">
        <f t="shared" si="52"/>
        <v>0</v>
      </c>
      <c r="AO107" s="5">
        <f t="shared" si="52"/>
        <v>0</v>
      </c>
      <c r="AP107" s="5">
        <f t="shared" si="52"/>
        <v>0</v>
      </c>
      <c r="AQ107" s="5">
        <f t="shared" si="52"/>
        <v>0</v>
      </c>
      <c r="AR107" s="5">
        <f t="shared" si="52"/>
        <v>0</v>
      </c>
      <c r="AS107" s="5">
        <f t="shared" si="52"/>
        <v>6</v>
      </c>
      <c r="AT107" s="5">
        <f t="shared" si="52"/>
        <v>0</v>
      </c>
      <c r="AU107" s="5">
        <f t="shared" si="52"/>
        <v>0</v>
      </c>
      <c r="AV107" s="5">
        <f t="shared" si="52"/>
        <v>0</v>
      </c>
      <c r="AW107" s="5">
        <f t="shared" si="52"/>
        <v>0</v>
      </c>
      <c r="AX107" s="5">
        <f t="shared" si="52"/>
        <v>0</v>
      </c>
      <c r="AY107" s="5">
        <f t="shared" si="52"/>
        <v>7</v>
      </c>
      <c r="AZ107" s="5">
        <f t="shared" si="52"/>
        <v>0</v>
      </c>
      <c r="BA107" s="5">
        <f t="shared" si="52"/>
        <v>0</v>
      </c>
      <c r="BB107" s="5">
        <f t="shared" si="52"/>
        <v>0</v>
      </c>
      <c r="BC107" s="5">
        <f t="shared" si="52"/>
        <v>0</v>
      </c>
      <c r="BD107" s="5">
        <f t="shared" si="52"/>
        <v>0</v>
      </c>
      <c r="BE107" s="5">
        <f t="shared" si="52"/>
        <v>8</v>
      </c>
      <c r="BF107" s="5">
        <f t="shared" si="52"/>
        <v>0</v>
      </c>
      <c r="BG107" s="5">
        <f t="shared" si="52"/>
        <v>0</v>
      </c>
      <c r="BH107" s="5">
        <f t="shared" si="52"/>
        <v>0</v>
      </c>
      <c r="BI107" s="5">
        <f t="shared" si="52"/>
        <v>0</v>
      </c>
      <c r="BJ107" s="5">
        <f t="shared" si="52"/>
        <v>0</v>
      </c>
      <c r="BK107" s="5">
        <f t="shared" si="52"/>
        <v>9</v>
      </c>
      <c r="BL107" s="5">
        <f t="shared" si="52"/>
        <v>0</v>
      </c>
      <c r="BM107" s="5">
        <f t="shared" si="52"/>
        <v>0</v>
      </c>
      <c r="BN107" s="5">
        <f t="shared" si="52"/>
        <v>0</v>
      </c>
      <c r="BO107" s="5">
        <f t="shared" si="52"/>
        <v>0</v>
      </c>
      <c r="BP107" s="5">
        <f t="shared" si="52"/>
        <v>0</v>
      </c>
      <c r="BQ107" s="5">
        <f t="shared" si="52"/>
        <v>10</v>
      </c>
    </row>
    <row r="108" spans="1:69" outlineLevel="2">
      <c r="A108" s="34"/>
      <c r="B108" s="34"/>
      <c r="C108" s="64"/>
      <c r="D108" s="65"/>
      <c r="E108" s="21" t="s">
        <v>239</v>
      </c>
      <c r="F108" s="21"/>
      <c r="G108" s="21" t="s">
        <v>285</v>
      </c>
      <c r="H108" s="21"/>
      <c r="I108" s="21"/>
      <c r="J108" s="14">
        <f t="shared" ref="J108:BQ108" si="53" xml:space="preserve">  INDEX( $J106:$BQ106, MATCH( J106, $J107:$BQ107, 0 ) )</f>
        <v>6</v>
      </c>
      <c r="K108" s="14">
        <f t="shared" si="53"/>
        <v>12</v>
      </c>
      <c r="L108" s="14">
        <f t="shared" si="53"/>
        <v>18</v>
      </c>
      <c r="M108" s="14">
        <f t="shared" si="53"/>
        <v>24</v>
      </c>
      <c r="N108" s="14">
        <f t="shared" si="53"/>
        <v>30</v>
      </c>
      <c r="O108" s="14">
        <f t="shared" si="53"/>
        <v>36</v>
      </c>
      <c r="P108" s="14">
        <f t="shared" si="53"/>
        <v>42</v>
      </c>
      <c r="Q108" s="14">
        <f t="shared" si="53"/>
        <v>48</v>
      </c>
      <c r="R108" s="14">
        <f t="shared" si="53"/>
        <v>54</v>
      </c>
      <c r="S108" s="14">
        <f t="shared" si="53"/>
        <v>60</v>
      </c>
      <c r="T108" s="14" t="e">
        <f t="shared" si="53"/>
        <v>#N/A</v>
      </c>
      <c r="U108" s="14" t="e">
        <f t="shared" si="53"/>
        <v>#N/A</v>
      </c>
      <c r="V108" s="14" t="e">
        <f t="shared" si="53"/>
        <v>#N/A</v>
      </c>
      <c r="W108" s="14" t="e">
        <f t="shared" si="53"/>
        <v>#N/A</v>
      </c>
      <c r="X108" s="14" t="e">
        <f t="shared" si="53"/>
        <v>#N/A</v>
      </c>
      <c r="Y108" s="14" t="e">
        <f t="shared" si="53"/>
        <v>#N/A</v>
      </c>
      <c r="Z108" s="14" t="e">
        <f t="shared" si="53"/>
        <v>#N/A</v>
      </c>
      <c r="AA108" s="14" t="e">
        <f t="shared" si="53"/>
        <v>#N/A</v>
      </c>
      <c r="AB108" s="14" t="e">
        <f t="shared" si="53"/>
        <v>#N/A</v>
      </c>
      <c r="AC108" s="14" t="e">
        <f t="shared" si="53"/>
        <v>#N/A</v>
      </c>
      <c r="AD108" s="14" t="e">
        <f t="shared" si="53"/>
        <v>#N/A</v>
      </c>
      <c r="AE108" s="14" t="e">
        <f t="shared" si="53"/>
        <v>#N/A</v>
      </c>
      <c r="AF108" s="14" t="e">
        <f t="shared" si="53"/>
        <v>#N/A</v>
      </c>
      <c r="AG108" s="14" t="e">
        <f t="shared" si="53"/>
        <v>#N/A</v>
      </c>
      <c r="AH108" s="14" t="e">
        <f t="shared" si="53"/>
        <v>#N/A</v>
      </c>
      <c r="AI108" s="14" t="e">
        <f t="shared" si="53"/>
        <v>#N/A</v>
      </c>
      <c r="AJ108" s="14" t="e">
        <f t="shared" si="53"/>
        <v>#N/A</v>
      </c>
      <c r="AK108" s="14" t="e">
        <f t="shared" si="53"/>
        <v>#N/A</v>
      </c>
      <c r="AL108" s="14" t="e">
        <f t="shared" si="53"/>
        <v>#N/A</v>
      </c>
      <c r="AM108" s="14" t="e">
        <f t="shared" si="53"/>
        <v>#N/A</v>
      </c>
      <c r="AN108" s="14" t="e">
        <f t="shared" si="53"/>
        <v>#N/A</v>
      </c>
      <c r="AO108" s="14" t="e">
        <f t="shared" si="53"/>
        <v>#N/A</v>
      </c>
      <c r="AP108" s="14" t="e">
        <f t="shared" si="53"/>
        <v>#N/A</v>
      </c>
      <c r="AQ108" s="14" t="e">
        <f t="shared" si="53"/>
        <v>#N/A</v>
      </c>
      <c r="AR108" s="14" t="e">
        <f t="shared" si="53"/>
        <v>#N/A</v>
      </c>
      <c r="AS108" s="14" t="e">
        <f t="shared" si="53"/>
        <v>#N/A</v>
      </c>
      <c r="AT108" s="14" t="e">
        <f t="shared" si="53"/>
        <v>#N/A</v>
      </c>
      <c r="AU108" s="14" t="e">
        <f t="shared" si="53"/>
        <v>#N/A</v>
      </c>
      <c r="AV108" s="14" t="e">
        <f t="shared" si="53"/>
        <v>#N/A</v>
      </c>
      <c r="AW108" s="14" t="e">
        <f t="shared" si="53"/>
        <v>#N/A</v>
      </c>
      <c r="AX108" s="14" t="e">
        <f t="shared" si="53"/>
        <v>#N/A</v>
      </c>
      <c r="AY108" s="14" t="e">
        <f t="shared" si="53"/>
        <v>#N/A</v>
      </c>
      <c r="AZ108" s="14" t="e">
        <f t="shared" si="53"/>
        <v>#N/A</v>
      </c>
      <c r="BA108" s="14" t="e">
        <f t="shared" si="53"/>
        <v>#N/A</v>
      </c>
      <c r="BB108" s="14" t="e">
        <f t="shared" si="53"/>
        <v>#N/A</v>
      </c>
      <c r="BC108" s="14" t="e">
        <f t="shared" si="53"/>
        <v>#N/A</v>
      </c>
      <c r="BD108" s="14" t="e">
        <f t="shared" si="53"/>
        <v>#N/A</v>
      </c>
      <c r="BE108" s="14" t="e">
        <f t="shared" si="53"/>
        <v>#N/A</v>
      </c>
      <c r="BF108" s="14" t="e">
        <f t="shared" si="53"/>
        <v>#N/A</v>
      </c>
      <c r="BG108" s="14" t="e">
        <f t="shared" si="53"/>
        <v>#N/A</v>
      </c>
      <c r="BH108" s="14" t="e">
        <f t="shared" si="53"/>
        <v>#N/A</v>
      </c>
      <c r="BI108" s="14" t="e">
        <f t="shared" si="53"/>
        <v>#N/A</v>
      </c>
      <c r="BJ108" s="14" t="e">
        <f t="shared" si="53"/>
        <v>#N/A</v>
      </c>
      <c r="BK108" s="14" t="e">
        <f t="shared" si="53"/>
        <v>#N/A</v>
      </c>
      <c r="BL108" s="14" t="e">
        <f t="shared" si="53"/>
        <v>#N/A</v>
      </c>
      <c r="BM108" s="14" t="e">
        <f t="shared" si="53"/>
        <v>#N/A</v>
      </c>
      <c r="BN108" s="14" t="e">
        <f t="shared" si="53"/>
        <v>#N/A</v>
      </c>
      <c r="BO108" s="14" t="e">
        <f t="shared" si="53"/>
        <v>#N/A</v>
      </c>
      <c r="BP108" s="14" t="e">
        <f t="shared" si="53"/>
        <v>#N/A</v>
      </c>
      <c r="BQ108" s="14" t="e">
        <f t="shared" si="53"/>
        <v>#N/A</v>
      </c>
    </row>
    <row r="109" spans="1:69" outlineLevel="1"/>
    <row r="111" spans="1:69">
      <c r="A111" s="25" t="s">
        <v>148</v>
      </c>
    </row>
    <row r="112" spans="1:69" outlineLevel="1">
      <c r="B112" s="25" t="s">
        <v>240</v>
      </c>
    </row>
    <row r="113" spans="1:69" outlineLevel="2">
      <c r="A113" s="18"/>
      <c r="B113" s="18"/>
      <c r="C113" s="28"/>
      <c r="D113" s="27"/>
      <c r="E113" s="20" t="str">
        <f xml:space="preserve">  InpC!E$102</f>
        <v>Start date</v>
      </c>
      <c r="F113" s="20">
        <f xml:space="preserve">  InpC!F$102</f>
        <v>45047</v>
      </c>
      <c r="G113" s="20" t="str">
        <f xml:space="preserve">  InpC!G$102</f>
        <v>date</v>
      </c>
      <c r="M113" s="8"/>
    </row>
    <row r="114" spans="1:69" outlineLevel="2">
      <c r="E114" s="8" t="str">
        <f t="shared" ref="E114:BQ114" si="54" xml:space="preserve">  E$19</f>
        <v>Model period end</v>
      </c>
      <c r="F114" s="8">
        <f t="shared" si="54"/>
        <v>0</v>
      </c>
      <c r="G114" s="8" t="str">
        <f t="shared" si="54"/>
        <v>date</v>
      </c>
      <c r="H114" s="8">
        <f t="shared" si="54"/>
        <v>0</v>
      </c>
      <c r="I114" s="8">
        <f t="shared" si="54"/>
        <v>0</v>
      </c>
      <c r="J114" s="8">
        <f t="shared" si="54"/>
        <v>45077</v>
      </c>
      <c r="K114" s="8">
        <f t="shared" si="54"/>
        <v>45107</v>
      </c>
      <c r="L114" s="8">
        <f t="shared" si="54"/>
        <v>45138</v>
      </c>
      <c r="M114" s="8">
        <f t="shared" si="54"/>
        <v>45169</v>
      </c>
      <c r="N114" s="8">
        <f t="shared" si="54"/>
        <v>45199</v>
      </c>
      <c r="O114" s="8">
        <f t="shared" si="54"/>
        <v>45230</v>
      </c>
      <c r="P114" s="8">
        <f t="shared" si="54"/>
        <v>45260</v>
      </c>
      <c r="Q114" s="8">
        <f t="shared" si="54"/>
        <v>45291</v>
      </c>
      <c r="R114" s="8">
        <f t="shared" si="54"/>
        <v>45322</v>
      </c>
      <c r="S114" s="8">
        <f t="shared" si="54"/>
        <v>45351</v>
      </c>
      <c r="T114" s="8">
        <f t="shared" si="54"/>
        <v>45382</v>
      </c>
      <c r="U114" s="8">
        <f t="shared" si="54"/>
        <v>45412</v>
      </c>
      <c r="V114" s="8">
        <f t="shared" si="54"/>
        <v>45443</v>
      </c>
      <c r="W114" s="8">
        <f t="shared" si="54"/>
        <v>45473</v>
      </c>
      <c r="X114" s="8">
        <f t="shared" si="54"/>
        <v>45504</v>
      </c>
      <c r="Y114" s="8">
        <f t="shared" si="54"/>
        <v>45535</v>
      </c>
      <c r="Z114" s="8">
        <f t="shared" si="54"/>
        <v>45565</v>
      </c>
      <c r="AA114" s="8">
        <f t="shared" si="54"/>
        <v>45596</v>
      </c>
      <c r="AB114" s="8">
        <f t="shared" si="54"/>
        <v>45626</v>
      </c>
      <c r="AC114" s="8">
        <f t="shared" si="54"/>
        <v>45657</v>
      </c>
      <c r="AD114" s="8">
        <f t="shared" si="54"/>
        <v>45688</v>
      </c>
      <c r="AE114" s="8">
        <f t="shared" si="54"/>
        <v>45716</v>
      </c>
      <c r="AF114" s="8">
        <f t="shared" si="54"/>
        <v>45747</v>
      </c>
      <c r="AG114" s="8">
        <f t="shared" si="54"/>
        <v>45777</v>
      </c>
      <c r="AH114" s="8">
        <f t="shared" si="54"/>
        <v>45808</v>
      </c>
      <c r="AI114" s="8">
        <f t="shared" si="54"/>
        <v>45838</v>
      </c>
      <c r="AJ114" s="8">
        <f t="shared" si="54"/>
        <v>45869</v>
      </c>
      <c r="AK114" s="8">
        <f t="shared" si="54"/>
        <v>45900</v>
      </c>
      <c r="AL114" s="8">
        <f t="shared" si="54"/>
        <v>45930</v>
      </c>
      <c r="AM114" s="8">
        <f t="shared" si="54"/>
        <v>45961</v>
      </c>
      <c r="AN114" s="8">
        <f t="shared" si="54"/>
        <v>45991</v>
      </c>
      <c r="AO114" s="8">
        <f t="shared" si="54"/>
        <v>46022</v>
      </c>
      <c r="AP114" s="8">
        <f t="shared" si="54"/>
        <v>46053</v>
      </c>
      <c r="AQ114" s="8">
        <f t="shared" si="54"/>
        <v>46081</v>
      </c>
      <c r="AR114" s="8">
        <f t="shared" si="54"/>
        <v>46112</v>
      </c>
      <c r="AS114" s="8">
        <f t="shared" si="54"/>
        <v>46142</v>
      </c>
      <c r="AT114" s="8">
        <f t="shared" si="54"/>
        <v>46173</v>
      </c>
      <c r="AU114" s="8">
        <f t="shared" si="54"/>
        <v>46203</v>
      </c>
      <c r="AV114" s="8">
        <f t="shared" si="54"/>
        <v>46234</v>
      </c>
      <c r="AW114" s="8">
        <f t="shared" si="54"/>
        <v>46265</v>
      </c>
      <c r="AX114" s="8">
        <f t="shared" si="54"/>
        <v>46295</v>
      </c>
      <c r="AY114" s="8">
        <f t="shared" si="54"/>
        <v>46326</v>
      </c>
      <c r="AZ114" s="8">
        <f t="shared" si="54"/>
        <v>46356</v>
      </c>
      <c r="BA114" s="8">
        <f t="shared" si="54"/>
        <v>46387</v>
      </c>
      <c r="BB114" s="8">
        <f t="shared" si="54"/>
        <v>46418</v>
      </c>
      <c r="BC114" s="8">
        <f t="shared" si="54"/>
        <v>46446</v>
      </c>
      <c r="BD114" s="8">
        <f t="shared" si="54"/>
        <v>46477</v>
      </c>
      <c r="BE114" s="8">
        <f t="shared" si="54"/>
        <v>46507</v>
      </c>
      <c r="BF114" s="8">
        <f t="shared" si="54"/>
        <v>46538</v>
      </c>
      <c r="BG114" s="8">
        <f t="shared" si="54"/>
        <v>46568</v>
      </c>
      <c r="BH114" s="8">
        <f t="shared" si="54"/>
        <v>46599</v>
      </c>
      <c r="BI114" s="8">
        <f t="shared" si="54"/>
        <v>46630</v>
      </c>
      <c r="BJ114" s="8">
        <f t="shared" si="54"/>
        <v>46660</v>
      </c>
      <c r="BK114" s="8">
        <f t="shared" si="54"/>
        <v>46691</v>
      </c>
      <c r="BL114" s="8">
        <f t="shared" si="54"/>
        <v>46721</v>
      </c>
      <c r="BM114" s="8">
        <f t="shared" si="54"/>
        <v>46752</v>
      </c>
      <c r="BN114" s="8">
        <f t="shared" si="54"/>
        <v>46783</v>
      </c>
      <c r="BO114" s="8">
        <f t="shared" si="54"/>
        <v>46812</v>
      </c>
      <c r="BP114" s="8">
        <f t="shared" si="54"/>
        <v>46843</v>
      </c>
      <c r="BQ114" s="8">
        <f t="shared" si="54"/>
        <v>46873</v>
      </c>
    </row>
    <row r="115" spans="1:69" outlineLevel="2">
      <c r="E115" s="47" t="s">
        <v>240</v>
      </c>
      <c r="G115" s="47" t="s">
        <v>20</v>
      </c>
      <c r="H115" s="2">
        <f xml:space="preserve"> SUM( J115:BQ115 )</f>
        <v>60</v>
      </c>
      <c r="J115" s="2">
        <f t="shared" ref="J115:BQ115" si="55" xml:space="preserve">  IF( $F113 &lt; J114, 1, 0 )</f>
        <v>1</v>
      </c>
      <c r="K115" s="2">
        <f t="shared" si="55"/>
        <v>1</v>
      </c>
      <c r="L115" s="2">
        <f t="shared" si="55"/>
        <v>1</v>
      </c>
      <c r="M115" s="2">
        <f t="shared" si="55"/>
        <v>1</v>
      </c>
      <c r="N115" s="2">
        <f t="shared" si="55"/>
        <v>1</v>
      </c>
      <c r="O115" s="2">
        <f t="shared" si="55"/>
        <v>1</v>
      </c>
      <c r="P115" s="2">
        <f t="shared" si="55"/>
        <v>1</v>
      </c>
      <c r="Q115" s="2">
        <f t="shared" si="55"/>
        <v>1</v>
      </c>
      <c r="R115" s="2">
        <f t="shared" si="55"/>
        <v>1</v>
      </c>
      <c r="S115" s="2">
        <f t="shared" si="55"/>
        <v>1</v>
      </c>
      <c r="T115" s="2">
        <f t="shared" si="55"/>
        <v>1</v>
      </c>
      <c r="U115" s="2">
        <f t="shared" si="55"/>
        <v>1</v>
      </c>
      <c r="V115" s="2">
        <f t="shared" si="55"/>
        <v>1</v>
      </c>
      <c r="W115" s="2">
        <f t="shared" si="55"/>
        <v>1</v>
      </c>
      <c r="X115" s="2">
        <f t="shared" si="55"/>
        <v>1</v>
      </c>
      <c r="Y115" s="2">
        <f t="shared" si="55"/>
        <v>1</v>
      </c>
      <c r="Z115" s="2">
        <f t="shared" si="55"/>
        <v>1</v>
      </c>
      <c r="AA115" s="2">
        <f t="shared" si="55"/>
        <v>1</v>
      </c>
      <c r="AB115" s="2">
        <f t="shared" si="55"/>
        <v>1</v>
      </c>
      <c r="AC115" s="2">
        <f t="shared" si="55"/>
        <v>1</v>
      </c>
      <c r="AD115" s="2">
        <f t="shared" si="55"/>
        <v>1</v>
      </c>
      <c r="AE115" s="2">
        <f t="shared" si="55"/>
        <v>1</v>
      </c>
      <c r="AF115" s="2">
        <f t="shared" si="55"/>
        <v>1</v>
      </c>
      <c r="AG115" s="2">
        <f t="shared" si="55"/>
        <v>1</v>
      </c>
      <c r="AH115" s="2">
        <f t="shared" si="55"/>
        <v>1</v>
      </c>
      <c r="AI115" s="2">
        <f t="shared" si="55"/>
        <v>1</v>
      </c>
      <c r="AJ115" s="2">
        <f t="shared" si="55"/>
        <v>1</v>
      </c>
      <c r="AK115" s="2">
        <f t="shared" si="55"/>
        <v>1</v>
      </c>
      <c r="AL115" s="2">
        <f t="shared" si="55"/>
        <v>1</v>
      </c>
      <c r="AM115" s="2">
        <f t="shared" si="55"/>
        <v>1</v>
      </c>
      <c r="AN115" s="2">
        <f t="shared" si="55"/>
        <v>1</v>
      </c>
      <c r="AO115" s="2">
        <f t="shared" si="55"/>
        <v>1</v>
      </c>
      <c r="AP115" s="2">
        <f t="shared" si="55"/>
        <v>1</v>
      </c>
      <c r="AQ115" s="2">
        <f t="shared" si="55"/>
        <v>1</v>
      </c>
      <c r="AR115" s="2">
        <f t="shared" si="55"/>
        <v>1</v>
      </c>
      <c r="AS115" s="2">
        <f t="shared" si="55"/>
        <v>1</v>
      </c>
      <c r="AT115" s="2">
        <f t="shared" si="55"/>
        <v>1</v>
      </c>
      <c r="AU115" s="2">
        <f t="shared" si="55"/>
        <v>1</v>
      </c>
      <c r="AV115" s="2">
        <f t="shared" si="55"/>
        <v>1</v>
      </c>
      <c r="AW115" s="2">
        <f t="shared" si="55"/>
        <v>1</v>
      </c>
      <c r="AX115" s="2">
        <f t="shared" si="55"/>
        <v>1</v>
      </c>
      <c r="AY115" s="2">
        <f t="shared" si="55"/>
        <v>1</v>
      </c>
      <c r="AZ115" s="2">
        <f t="shared" si="55"/>
        <v>1</v>
      </c>
      <c r="BA115" s="2">
        <f t="shared" si="55"/>
        <v>1</v>
      </c>
      <c r="BB115" s="2">
        <f t="shared" si="55"/>
        <v>1</v>
      </c>
      <c r="BC115" s="2">
        <f t="shared" si="55"/>
        <v>1</v>
      </c>
      <c r="BD115" s="2">
        <f t="shared" si="55"/>
        <v>1</v>
      </c>
      <c r="BE115" s="2">
        <f t="shared" si="55"/>
        <v>1</v>
      </c>
      <c r="BF115" s="2">
        <f t="shared" si="55"/>
        <v>1</v>
      </c>
      <c r="BG115" s="2">
        <f t="shared" si="55"/>
        <v>1</v>
      </c>
      <c r="BH115" s="2">
        <f t="shared" si="55"/>
        <v>1</v>
      </c>
      <c r="BI115" s="2">
        <f t="shared" si="55"/>
        <v>1</v>
      </c>
      <c r="BJ115" s="2">
        <f t="shared" si="55"/>
        <v>1</v>
      </c>
      <c r="BK115" s="2">
        <f t="shared" si="55"/>
        <v>1</v>
      </c>
      <c r="BL115" s="2">
        <f t="shared" si="55"/>
        <v>1</v>
      </c>
      <c r="BM115" s="2">
        <f t="shared" si="55"/>
        <v>1</v>
      </c>
      <c r="BN115" s="2">
        <f t="shared" si="55"/>
        <v>1</v>
      </c>
      <c r="BO115" s="2">
        <f t="shared" si="55"/>
        <v>1</v>
      </c>
      <c r="BP115" s="2">
        <f t="shared" si="55"/>
        <v>1</v>
      </c>
      <c r="BQ115" s="2">
        <f t="shared" si="55"/>
        <v>1</v>
      </c>
    </row>
    <row r="116" spans="1:69" outlineLevel="1"/>
    <row r="117" spans="1:69" outlineLevel="1"/>
    <row r="118" spans="1:69" outlineLevel="1">
      <c r="B118" s="25" t="s">
        <v>297</v>
      </c>
    </row>
    <row r="119" spans="1:69" outlineLevel="2">
      <c r="A119" s="18"/>
      <c r="B119" s="18"/>
      <c r="C119" s="28"/>
      <c r="D119" s="27"/>
      <c r="E119" s="20" t="str">
        <f xml:space="preserve">  InpC!E$102</f>
        <v>Start date</v>
      </c>
      <c r="F119" s="20">
        <f xml:space="preserve">  InpC!F$102</f>
        <v>45047</v>
      </c>
      <c r="G119" s="20" t="str">
        <f xml:space="preserve">  InpC!G$102</f>
        <v>date</v>
      </c>
      <c r="M119" s="8"/>
    </row>
    <row r="120" spans="1:69" outlineLevel="2">
      <c r="E120" s="8" t="str">
        <f t="shared" ref="E120:BQ120" si="56" xml:space="preserve">  E$19</f>
        <v>Model period end</v>
      </c>
      <c r="F120" s="8">
        <f t="shared" si="56"/>
        <v>0</v>
      </c>
      <c r="G120" s="8" t="str">
        <f t="shared" si="56"/>
        <v>date</v>
      </c>
      <c r="H120" s="8">
        <f t="shared" si="56"/>
        <v>0</v>
      </c>
      <c r="I120" s="8">
        <f t="shared" si="56"/>
        <v>0</v>
      </c>
      <c r="J120" s="8">
        <f t="shared" si="56"/>
        <v>45077</v>
      </c>
      <c r="K120" s="8">
        <f t="shared" si="56"/>
        <v>45107</v>
      </c>
      <c r="L120" s="8">
        <f t="shared" si="56"/>
        <v>45138</v>
      </c>
      <c r="M120" s="8">
        <f t="shared" si="56"/>
        <v>45169</v>
      </c>
      <c r="N120" s="8">
        <f t="shared" si="56"/>
        <v>45199</v>
      </c>
      <c r="O120" s="8">
        <f t="shared" si="56"/>
        <v>45230</v>
      </c>
      <c r="P120" s="8">
        <f t="shared" si="56"/>
        <v>45260</v>
      </c>
      <c r="Q120" s="8">
        <f t="shared" si="56"/>
        <v>45291</v>
      </c>
      <c r="R120" s="8">
        <f t="shared" si="56"/>
        <v>45322</v>
      </c>
      <c r="S120" s="8">
        <f t="shared" si="56"/>
        <v>45351</v>
      </c>
      <c r="T120" s="8">
        <f t="shared" si="56"/>
        <v>45382</v>
      </c>
      <c r="U120" s="8">
        <f t="shared" si="56"/>
        <v>45412</v>
      </c>
      <c r="V120" s="8">
        <f t="shared" si="56"/>
        <v>45443</v>
      </c>
      <c r="W120" s="8">
        <f t="shared" si="56"/>
        <v>45473</v>
      </c>
      <c r="X120" s="8">
        <f t="shared" si="56"/>
        <v>45504</v>
      </c>
      <c r="Y120" s="8">
        <f t="shared" si="56"/>
        <v>45535</v>
      </c>
      <c r="Z120" s="8">
        <f t="shared" si="56"/>
        <v>45565</v>
      </c>
      <c r="AA120" s="8">
        <f t="shared" si="56"/>
        <v>45596</v>
      </c>
      <c r="AB120" s="8">
        <f t="shared" si="56"/>
        <v>45626</v>
      </c>
      <c r="AC120" s="8">
        <f t="shared" si="56"/>
        <v>45657</v>
      </c>
      <c r="AD120" s="8">
        <f t="shared" si="56"/>
        <v>45688</v>
      </c>
      <c r="AE120" s="8">
        <f t="shared" si="56"/>
        <v>45716</v>
      </c>
      <c r="AF120" s="8">
        <f t="shared" si="56"/>
        <v>45747</v>
      </c>
      <c r="AG120" s="8">
        <f t="shared" si="56"/>
        <v>45777</v>
      </c>
      <c r="AH120" s="8">
        <f t="shared" si="56"/>
        <v>45808</v>
      </c>
      <c r="AI120" s="8">
        <f t="shared" si="56"/>
        <v>45838</v>
      </c>
      <c r="AJ120" s="8">
        <f t="shared" si="56"/>
        <v>45869</v>
      </c>
      <c r="AK120" s="8">
        <f t="shared" si="56"/>
        <v>45900</v>
      </c>
      <c r="AL120" s="8">
        <f t="shared" si="56"/>
        <v>45930</v>
      </c>
      <c r="AM120" s="8">
        <f t="shared" si="56"/>
        <v>45961</v>
      </c>
      <c r="AN120" s="8">
        <f t="shared" si="56"/>
        <v>45991</v>
      </c>
      <c r="AO120" s="8">
        <f t="shared" si="56"/>
        <v>46022</v>
      </c>
      <c r="AP120" s="8">
        <f t="shared" si="56"/>
        <v>46053</v>
      </c>
      <c r="AQ120" s="8">
        <f t="shared" si="56"/>
        <v>46081</v>
      </c>
      <c r="AR120" s="8">
        <f t="shared" si="56"/>
        <v>46112</v>
      </c>
      <c r="AS120" s="8">
        <f t="shared" si="56"/>
        <v>46142</v>
      </c>
      <c r="AT120" s="8">
        <f t="shared" si="56"/>
        <v>46173</v>
      </c>
      <c r="AU120" s="8">
        <f t="shared" si="56"/>
        <v>46203</v>
      </c>
      <c r="AV120" s="8">
        <f t="shared" si="56"/>
        <v>46234</v>
      </c>
      <c r="AW120" s="8">
        <f t="shared" si="56"/>
        <v>46265</v>
      </c>
      <c r="AX120" s="8">
        <f t="shared" si="56"/>
        <v>46295</v>
      </c>
      <c r="AY120" s="8">
        <f t="shared" si="56"/>
        <v>46326</v>
      </c>
      <c r="AZ120" s="8">
        <f t="shared" si="56"/>
        <v>46356</v>
      </c>
      <c r="BA120" s="8">
        <f t="shared" si="56"/>
        <v>46387</v>
      </c>
      <c r="BB120" s="8">
        <f t="shared" si="56"/>
        <v>46418</v>
      </c>
      <c r="BC120" s="8">
        <f t="shared" si="56"/>
        <v>46446</v>
      </c>
      <c r="BD120" s="8">
        <f t="shared" si="56"/>
        <v>46477</v>
      </c>
      <c r="BE120" s="8">
        <f t="shared" si="56"/>
        <v>46507</v>
      </c>
      <c r="BF120" s="8">
        <f t="shared" si="56"/>
        <v>46538</v>
      </c>
      <c r="BG120" s="8">
        <f t="shared" si="56"/>
        <v>46568</v>
      </c>
      <c r="BH120" s="8">
        <f t="shared" si="56"/>
        <v>46599</v>
      </c>
      <c r="BI120" s="8">
        <f t="shared" si="56"/>
        <v>46630</v>
      </c>
      <c r="BJ120" s="8">
        <f t="shared" si="56"/>
        <v>46660</v>
      </c>
      <c r="BK120" s="8">
        <f t="shared" si="56"/>
        <v>46691</v>
      </c>
      <c r="BL120" s="8">
        <f t="shared" si="56"/>
        <v>46721</v>
      </c>
      <c r="BM120" s="8">
        <f t="shared" si="56"/>
        <v>46752</v>
      </c>
      <c r="BN120" s="8">
        <f t="shared" si="56"/>
        <v>46783</v>
      </c>
      <c r="BO120" s="8">
        <f t="shared" si="56"/>
        <v>46812</v>
      </c>
      <c r="BP120" s="8">
        <f t="shared" si="56"/>
        <v>46843</v>
      </c>
      <c r="BQ120" s="8">
        <f t="shared" si="56"/>
        <v>46873</v>
      </c>
    </row>
    <row r="121" spans="1:69" outlineLevel="2">
      <c r="E121" s="8" t="str">
        <f t="shared" ref="E121:BQ121" si="57" xml:space="preserve">  E$12</f>
        <v>Model period start</v>
      </c>
      <c r="F121" s="8">
        <f t="shared" si="57"/>
        <v>0</v>
      </c>
      <c r="G121" s="8" t="str">
        <f t="shared" si="57"/>
        <v>date</v>
      </c>
      <c r="H121" s="8">
        <f t="shared" si="57"/>
        <v>0</v>
      </c>
      <c r="I121" s="8">
        <f t="shared" si="57"/>
        <v>0</v>
      </c>
      <c r="J121" s="8">
        <f t="shared" si="57"/>
        <v>45047</v>
      </c>
      <c r="K121" s="8">
        <f t="shared" si="57"/>
        <v>45078</v>
      </c>
      <c r="L121" s="8">
        <f t="shared" si="57"/>
        <v>45108</v>
      </c>
      <c r="M121" s="8">
        <f t="shared" si="57"/>
        <v>45139</v>
      </c>
      <c r="N121" s="8">
        <f t="shared" si="57"/>
        <v>45170</v>
      </c>
      <c r="O121" s="8">
        <f t="shared" si="57"/>
        <v>45200</v>
      </c>
      <c r="P121" s="8">
        <f t="shared" si="57"/>
        <v>45231</v>
      </c>
      <c r="Q121" s="8">
        <f t="shared" si="57"/>
        <v>45261</v>
      </c>
      <c r="R121" s="8">
        <f t="shared" si="57"/>
        <v>45292</v>
      </c>
      <c r="S121" s="8">
        <f t="shared" si="57"/>
        <v>45323</v>
      </c>
      <c r="T121" s="8">
        <f t="shared" si="57"/>
        <v>45352</v>
      </c>
      <c r="U121" s="8">
        <f t="shared" si="57"/>
        <v>45383</v>
      </c>
      <c r="V121" s="8">
        <f t="shared" si="57"/>
        <v>45413</v>
      </c>
      <c r="W121" s="8">
        <f t="shared" si="57"/>
        <v>45444</v>
      </c>
      <c r="X121" s="8">
        <f t="shared" si="57"/>
        <v>45474</v>
      </c>
      <c r="Y121" s="8">
        <f t="shared" si="57"/>
        <v>45505</v>
      </c>
      <c r="Z121" s="8">
        <f t="shared" si="57"/>
        <v>45536</v>
      </c>
      <c r="AA121" s="8">
        <f t="shared" si="57"/>
        <v>45566</v>
      </c>
      <c r="AB121" s="8">
        <f t="shared" si="57"/>
        <v>45597</v>
      </c>
      <c r="AC121" s="8">
        <f t="shared" si="57"/>
        <v>45627</v>
      </c>
      <c r="AD121" s="8">
        <f t="shared" si="57"/>
        <v>45658</v>
      </c>
      <c r="AE121" s="8">
        <f t="shared" si="57"/>
        <v>45689</v>
      </c>
      <c r="AF121" s="8">
        <f t="shared" si="57"/>
        <v>45717</v>
      </c>
      <c r="AG121" s="8">
        <f t="shared" si="57"/>
        <v>45748</v>
      </c>
      <c r="AH121" s="8">
        <f t="shared" si="57"/>
        <v>45778</v>
      </c>
      <c r="AI121" s="8">
        <f t="shared" si="57"/>
        <v>45809</v>
      </c>
      <c r="AJ121" s="8">
        <f t="shared" si="57"/>
        <v>45839</v>
      </c>
      <c r="AK121" s="8">
        <f t="shared" si="57"/>
        <v>45870</v>
      </c>
      <c r="AL121" s="8">
        <f t="shared" si="57"/>
        <v>45901</v>
      </c>
      <c r="AM121" s="8">
        <f t="shared" si="57"/>
        <v>45931</v>
      </c>
      <c r="AN121" s="8">
        <f t="shared" si="57"/>
        <v>45962</v>
      </c>
      <c r="AO121" s="8">
        <f t="shared" si="57"/>
        <v>45992</v>
      </c>
      <c r="AP121" s="8">
        <f t="shared" si="57"/>
        <v>46023</v>
      </c>
      <c r="AQ121" s="8">
        <f t="shared" si="57"/>
        <v>46054</v>
      </c>
      <c r="AR121" s="8">
        <f t="shared" si="57"/>
        <v>46082</v>
      </c>
      <c r="AS121" s="8">
        <f t="shared" si="57"/>
        <v>46113</v>
      </c>
      <c r="AT121" s="8">
        <f t="shared" si="57"/>
        <v>46143</v>
      </c>
      <c r="AU121" s="8">
        <f t="shared" si="57"/>
        <v>46174</v>
      </c>
      <c r="AV121" s="8">
        <f t="shared" si="57"/>
        <v>46204</v>
      </c>
      <c r="AW121" s="8">
        <f t="shared" si="57"/>
        <v>46235</v>
      </c>
      <c r="AX121" s="8">
        <f t="shared" si="57"/>
        <v>46266</v>
      </c>
      <c r="AY121" s="8">
        <f t="shared" si="57"/>
        <v>46296</v>
      </c>
      <c r="AZ121" s="8">
        <f t="shared" si="57"/>
        <v>46327</v>
      </c>
      <c r="BA121" s="8">
        <f t="shared" si="57"/>
        <v>46357</v>
      </c>
      <c r="BB121" s="8">
        <f t="shared" si="57"/>
        <v>46388</v>
      </c>
      <c r="BC121" s="8">
        <f t="shared" si="57"/>
        <v>46419</v>
      </c>
      <c r="BD121" s="8">
        <f t="shared" si="57"/>
        <v>46447</v>
      </c>
      <c r="BE121" s="8">
        <f t="shared" si="57"/>
        <v>46478</v>
      </c>
      <c r="BF121" s="8">
        <f t="shared" si="57"/>
        <v>46508</v>
      </c>
      <c r="BG121" s="8">
        <f t="shared" si="57"/>
        <v>46539</v>
      </c>
      <c r="BH121" s="8">
        <f t="shared" si="57"/>
        <v>46569</v>
      </c>
      <c r="BI121" s="8">
        <f t="shared" si="57"/>
        <v>46600</v>
      </c>
      <c r="BJ121" s="8">
        <f t="shared" si="57"/>
        <v>46631</v>
      </c>
      <c r="BK121" s="8">
        <f t="shared" si="57"/>
        <v>46661</v>
      </c>
      <c r="BL121" s="8">
        <f t="shared" si="57"/>
        <v>46692</v>
      </c>
      <c r="BM121" s="8">
        <f t="shared" si="57"/>
        <v>46722</v>
      </c>
      <c r="BN121" s="8">
        <f t="shared" si="57"/>
        <v>46753</v>
      </c>
      <c r="BO121" s="8">
        <f t="shared" si="57"/>
        <v>46784</v>
      </c>
      <c r="BP121" s="8">
        <f t="shared" si="57"/>
        <v>46813</v>
      </c>
      <c r="BQ121" s="8">
        <f t="shared" si="57"/>
        <v>46844</v>
      </c>
    </row>
    <row r="122" spans="1:69" outlineLevel="2">
      <c r="E122" s="47" t="s">
        <v>297</v>
      </c>
      <c r="G122" s="47" t="s">
        <v>20</v>
      </c>
      <c r="H122" s="2">
        <f xml:space="preserve"> SUM( J122:BQ122 )</f>
        <v>1</v>
      </c>
      <c r="J122" s="2">
        <f t="shared" ref="J122:BQ122" si="58" xml:space="preserve">  IF( AND( J120 &gt;= $F119, J121 &lt;= $F119 ), 1, 0 )</f>
        <v>1</v>
      </c>
      <c r="K122" s="2">
        <f t="shared" si="58"/>
        <v>0</v>
      </c>
      <c r="L122" s="2">
        <f t="shared" si="58"/>
        <v>0</v>
      </c>
      <c r="M122" s="2">
        <f t="shared" si="58"/>
        <v>0</v>
      </c>
      <c r="N122" s="2">
        <f t="shared" si="58"/>
        <v>0</v>
      </c>
      <c r="O122" s="2">
        <f t="shared" si="58"/>
        <v>0</v>
      </c>
      <c r="P122" s="2">
        <f t="shared" si="58"/>
        <v>0</v>
      </c>
      <c r="Q122" s="2">
        <f t="shared" si="58"/>
        <v>0</v>
      </c>
      <c r="R122" s="2">
        <f t="shared" si="58"/>
        <v>0</v>
      </c>
      <c r="S122" s="2">
        <f t="shared" si="58"/>
        <v>0</v>
      </c>
      <c r="T122" s="2">
        <f t="shared" si="58"/>
        <v>0</v>
      </c>
      <c r="U122" s="2">
        <f t="shared" si="58"/>
        <v>0</v>
      </c>
      <c r="V122" s="2">
        <f t="shared" si="58"/>
        <v>0</v>
      </c>
      <c r="W122" s="2">
        <f t="shared" si="58"/>
        <v>0</v>
      </c>
      <c r="X122" s="2">
        <f t="shared" si="58"/>
        <v>0</v>
      </c>
      <c r="Y122" s="2">
        <f t="shared" si="58"/>
        <v>0</v>
      </c>
      <c r="Z122" s="2">
        <f t="shared" si="58"/>
        <v>0</v>
      </c>
      <c r="AA122" s="2">
        <f t="shared" si="58"/>
        <v>0</v>
      </c>
      <c r="AB122" s="2">
        <f t="shared" si="58"/>
        <v>0</v>
      </c>
      <c r="AC122" s="2">
        <f t="shared" si="58"/>
        <v>0</v>
      </c>
      <c r="AD122" s="2">
        <f t="shared" si="58"/>
        <v>0</v>
      </c>
      <c r="AE122" s="2">
        <f t="shared" si="58"/>
        <v>0</v>
      </c>
      <c r="AF122" s="2">
        <f t="shared" si="58"/>
        <v>0</v>
      </c>
      <c r="AG122" s="2">
        <f t="shared" si="58"/>
        <v>0</v>
      </c>
      <c r="AH122" s="2">
        <f t="shared" si="58"/>
        <v>0</v>
      </c>
      <c r="AI122" s="2">
        <f t="shared" si="58"/>
        <v>0</v>
      </c>
      <c r="AJ122" s="2">
        <f t="shared" si="58"/>
        <v>0</v>
      </c>
      <c r="AK122" s="2">
        <f t="shared" si="58"/>
        <v>0</v>
      </c>
      <c r="AL122" s="2">
        <f t="shared" si="58"/>
        <v>0</v>
      </c>
      <c r="AM122" s="2">
        <f t="shared" si="58"/>
        <v>0</v>
      </c>
      <c r="AN122" s="2">
        <f t="shared" si="58"/>
        <v>0</v>
      </c>
      <c r="AO122" s="2">
        <f t="shared" si="58"/>
        <v>0</v>
      </c>
      <c r="AP122" s="2">
        <f t="shared" si="58"/>
        <v>0</v>
      </c>
      <c r="AQ122" s="2">
        <f t="shared" si="58"/>
        <v>0</v>
      </c>
      <c r="AR122" s="2">
        <f t="shared" si="58"/>
        <v>0</v>
      </c>
      <c r="AS122" s="2">
        <f t="shared" si="58"/>
        <v>0</v>
      </c>
      <c r="AT122" s="2">
        <f t="shared" si="58"/>
        <v>0</v>
      </c>
      <c r="AU122" s="2">
        <f t="shared" si="58"/>
        <v>0</v>
      </c>
      <c r="AV122" s="2">
        <f t="shared" si="58"/>
        <v>0</v>
      </c>
      <c r="AW122" s="2">
        <f t="shared" si="58"/>
        <v>0</v>
      </c>
      <c r="AX122" s="2">
        <f t="shared" si="58"/>
        <v>0</v>
      </c>
      <c r="AY122" s="2">
        <f t="shared" si="58"/>
        <v>0</v>
      </c>
      <c r="AZ122" s="2">
        <f t="shared" si="58"/>
        <v>0</v>
      </c>
      <c r="BA122" s="2">
        <f t="shared" si="58"/>
        <v>0</v>
      </c>
      <c r="BB122" s="2">
        <f t="shared" si="58"/>
        <v>0</v>
      </c>
      <c r="BC122" s="2">
        <f t="shared" si="58"/>
        <v>0</v>
      </c>
      <c r="BD122" s="2">
        <f t="shared" si="58"/>
        <v>0</v>
      </c>
      <c r="BE122" s="2">
        <f t="shared" si="58"/>
        <v>0</v>
      </c>
      <c r="BF122" s="2">
        <f t="shared" si="58"/>
        <v>0</v>
      </c>
      <c r="BG122" s="2">
        <f t="shared" si="58"/>
        <v>0</v>
      </c>
      <c r="BH122" s="2">
        <f t="shared" si="58"/>
        <v>0</v>
      </c>
      <c r="BI122" s="2">
        <f t="shared" si="58"/>
        <v>0</v>
      </c>
      <c r="BJ122" s="2">
        <f t="shared" si="58"/>
        <v>0</v>
      </c>
      <c r="BK122" s="2">
        <f t="shared" si="58"/>
        <v>0</v>
      </c>
      <c r="BL122" s="2">
        <f t="shared" si="58"/>
        <v>0</v>
      </c>
      <c r="BM122" s="2">
        <f t="shared" si="58"/>
        <v>0</v>
      </c>
      <c r="BN122" s="2">
        <f t="shared" si="58"/>
        <v>0</v>
      </c>
      <c r="BO122" s="2">
        <f t="shared" si="58"/>
        <v>0</v>
      </c>
      <c r="BP122" s="2">
        <f t="shared" si="58"/>
        <v>0</v>
      </c>
      <c r="BQ122" s="2">
        <f t="shared" si="58"/>
        <v>0</v>
      </c>
    </row>
    <row r="123" spans="1:69" outlineLevel="1"/>
    <row r="124" spans="1:69" outlineLevel="1"/>
    <row r="125" spans="1:69" outlineLevel="1">
      <c r="B125" s="25" t="s">
        <v>102</v>
      </c>
    </row>
    <row r="126" spans="1:69" outlineLevel="2">
      <c r="E126" s="5" t="str">
        <f t="shared" ref="E126:BQ126" si="59" xml:space="preserve">  E$28</f>
        <v>Period number</v>
      </c>
      <c r="F126" s="5">
        <f t="shared" si="59"/>
        <v>0</v>
      </c>
      <c r="G126" s="5" t="str">
        <f t="shared" si="59"/>
        <v>Counter</v>
      </c>
      <c r="H126" s="5">
        <f t="shared" si="59"/>
        <v>0</v>
      </c>
      <c r="I126" s="5">
        <f t="shared" si="59"/>
        <v>0</v>
      </c>
      <c r="J126" s="5">
        <f t="shared" si="59"/>
        <v>1</v>
      </c>
      <c r="K126" s="5">
        <f t="shared" si="59"/>
        <v>2</v>
      </c>
      <c r="L126" s="5">
        <f t="shared" si="59"/>
        <v>3</v>
      </c>
      <c r="M126" s="5">
        <f t="shared" si="59"/>
        <v>4</v>
      </c>
      <c r="N126" s="5">
        <f t="shared" si="59"/>
        <v>5</v>
      </c>
      <c r="O126" s="5">
        <f t="shared" si="59"/>
        <v>6</v>
      </c>
      <c r="P126" s="5">
        <f t="shared" si="59"/>
        <v>7</v>
      </c>
      <c r="Q126" s="5">
        <f t="shared" si="59"/>
        <v>8</v>
      </c>
      <c r="R126" s="5">
        <f t="shared" si="59"/>
        <v>9</v>
      </c>
      <c r="S126" s="5">
        <f t="shared" si="59"/>
        <v>10</v>
      </c>
      <c r="T126" s="5">
        <f t="shared" si="59"/>
        <v>11</v>
      </c>
      <c r="U126" s="5">
        <f t="shared" si="59"/>
        <v>12</v>
      </c>
      <c r="V126" s="5">
        <f t="shared" si="59"/>
        <v>13</v>
      </c>
      <c r="W126" s="5">
        <f t="shared" si="59"/>
        <v>14</v>
      </c>
      <c r="X126" s="5">
        <f t="shared" si="59"/>
        <v>15</v>
      </c>
      <c r="Y126" s="5">
        <f t="shared" si="59"/>
        <v>16</v>
      </c>
      <c r="Z126" s="5">
        <f t="shared" si="59"/>
        <v>17</v>
      </c>
      <c r="AA126" s="5">
        <f t="shared" si="59"/>
        <v>18</v>
      </c>
      <c r="AB126" s="5">
        <f t="shared" si="59"/>
        <v>19</v>
      </c>
      <c r="AC126" s="5">
        <f t="shared" si="59"/>
        <v>20</v>
      </c>
      <c r="AD126" s="5">
        <f t="shared" si="59"/>
        <v>21</v>
      </c>
      <c r="AE126" s="5">
        <f t="shared" si="59"/>
        <v>22</v>
      </c>
      <c r="AF126" s="5">
        <f t="shared" si="59"/>
        <v>23</v>
      </c>
      <c r="AG126" s="5">
        <f t="shared" si="59"/>
        <v>24</v>
      </c>
      <c r="AH126" s="5">
        <f t="shared" si="59"/>
        <v>25</v>
      </c>
      <c r="AI126" s="5">
        <f t="shared" si="59"/>
        <v>26</v>
      </c>
      <c r="AJ126" s="5">
        <f t="shared" si="59"/>
        <v>27</v>
      </c>
      <c r="AK126" s="5">
        <f t="shared" si="59"/>
        <v>28</v>
      </c>
      <c r="AL126" s="5">
        <f t="shared" si="59"/>
        <v>29</v>
      </c>
      <c r="AM126" s="5">
        <f t="shared" si="59"/>
        <v>30</v>
      </c>
      <c r="AN126" s="5">
        <f t="shared" si="59"/>
        <v>31</v>
      </c>
      <c r="AO126" s="5">
        <f t="shared" si="59"/>
        <v>32</v>
      </c>
      <c r="AP126" s="5">
        <f t="shared" si="59"/>
        <v>33</v>
      </c>
      <c r="AQ126" s="5">
        <f t="shared" si="59"/>
        <v>34</v>
      </c>
      <c r="AR126" s="5">
        <f t="shared" si="59"/>
        <v>35</v>
      </c>
      <c r="AS126" s="5">
        <f t="shared" si="59"/>
        <v>36</v>
      </c>
      <c r="AT126" s="5">
        <f t="shared" si="59"/>
        <v>37</v>
      </c>
      <c r="AU126" s="5">
        <f t="shared" si="59"/>
        <v>38</v>
      </c>
      <c r="AV126" s="5">
        <f t="shared" si="59"/>
        <v>39</v>
      </c>
      <c r="AW126" s="5">
        <f t="shared" si="59"/>
        <v>40</v>
      </c>
      <c r="AX126" s="5">
        <f t="shared" si="59"/>
        <v>41</v>
      </c>
      <c r="AY126" s="5">
        <f t="shared" si="59"/>
        <v>42</v>
      </c>
      <c r="AZ126" s="5">
        <f t="shared" si="59"/>
        <v>43</v>
      </c>
      <c r="BA126" s="5">
        <f t="shared" si="59"/>
        <v>44</v>
      </c>
      <c r="BB126" s="5">
        <f t="shared" si="59"/>
        <v>45</v>
      </c>
      <c r="BC126" s="5">
        <f t="shared" si="59"/>
        <v>46</v>
      </c>
      <c r="BD126" s="5">
        <f t="shared" si="59"/>
        <v>47</v>
      </c>
      <c r="BE126" s="5">
        <f t="shared" si="59"/>
        <v>48</v>
      </c>
      <c r="BF126" s="5">
        <f t="shared" si="59"/>
        <v>49</v>
      </c>
      <c r="BG126" s="5">
        <f t="shared" si="59"/>
        <v>50</v>
      </c>
      <c r="BH126" s="5">
        <f t="shared" si="59"/>
        <v>51</v>
      </c>
      <c r="BI126" s="5">
        <f t="shared" si="59"/>
        <v>52</v>
      </c>
      <c r="BJ126" s="5">
        <f t="shared" si="59"/>
        <v>53</v>
      </c>
      <c r="BK126" s="5">
        <f t="shared" si="59"/>
        <v>54</v>
      </c>
      <c r="BL126" s="5">
        <f t="shared" si="59"/>
        <v>55</v>
      </c>
      <c r="BM126" s="5">
        <f t="shared" si="59"/>
        <v>56</v>
      </c>
      <c r="BN126" s="5">
        <f t="shared" si="59"/>
        <v>57</v>
      </c>
      <c r="BO126" s="5">
        <f t="shared" si="59"/>
        <v>58</v>
      </c>
      <c r="BP126" s="5">
        <f t="shared" si="59"/>
        <v>59</v>
      </c>
      <c r="BQ126" s="5">
        <f t="shared" si="59"/>
        <v>60</v>
      </c>
    </row>
    <row r="127" spans="1:69" outlineLevel="2">
      <c r="E127" s="2" t="str">
        <f t="shared" ref="E127:BQ127" si="60" xml:space="preserve">  E$122</f>
        <v>First Customer Order Growth escalation flag</v>
      </c>
      <c r="F127" s="2">
        <f t="shared" si="60"/>
        <v>0</v>
      </c>
      <c r="G127" s="2" t="str">
        <f t="shared" si="60"/>
        <v>flag</v>
      </c>
      <c r="H127" s="2">
        <f t="shared" si="60"/>
        <v>1</v>
      </c>
      <c r="I127" s="2">
        <f t="shared" si="60"/>
        <v>0</v>
      </c>
      <c r="J127" s="2">
        <f t="shared" si="60"/>
        <v>1</v>
      </c>
      <c r="K127" s="2">
        <f t="shared" si="60"/>
        <v>0</v>
      </c>
      <c r="L127" s="2">
        <f t="shared" si="60"/>
        <v>0</v>
      </c>
      <c r="M127" s="2">
        <f t="shared" si="60"/>
        <v>0</v>
      </c>
      <c r="N127" s="2">
        <f t="shared" si="60"/>
        <v>0</v>
      </c>
      <c r="O127" s="2">
        <f t="shared" si="60"/>
        <v>0</v>
      </c>
      <c r="P127" s="2">
        <f t="shared" si="60"/>
        <v>0</v>
      </c>
      <c r="Q127" s="2">
        <f t="shared" si="60"/>
        <v>0</v>
      </c>
      <c r="R127" s="2">
        <f t="shared" si="60"/>
        <v>0</v>
      </c>
      <c r="S127" s="2">
        <f t="shared" si="60"/>
        <v>0</v>
      </c>
      <c r="T127" s="2">
        <f t="shared" si="60"/>
        <v>0</v>
      </c>
      <c r="U127" s="2">
        <f t="shared" si="60"/>
        <v>0</v>
      </c>
      <c r="V127" s="2">
        <f t="shared" si="60"/>
        <v>0</v>
      </c>
      <c r="W127" s="2">
        <f t="shared" si="60"/>
        <v>0</v>
      </c>
      <c r="X127" s="2">
        <f t="shared" si="60"/>
        <v>0</v>
      </c>
      <c r="Y127" s="2">
        <f t="shared" si="60"/>
        <v>0</v>
      </c>
      <c r="Z127" s="2">
        <f t="shared" si="60"/>
        <v>0</v>
      </c>
      <c r="AA127" s="2">
        <f t="shared" si="60"/>
        <v>0</v>
      </c>
      <c r="AB127" s="2">
        <f t="shared" si="60"/>
        <v>0</v>
      </c>
      <c r="AC127" s="2">
        <f t="shared" si="60"/>
        <v>0</v>
      </c>
      <c r="AD127" s="2">
        <f t="shared" si="60"/>
        <v>0</v>
      </c>
      <c r="AE127" s="2">
        <f t="shared" si="60"/>
        <v>0</v>
      </c>
      <c r="AF127" s="2">
        <f t="shared" si="60"/>
        <v>0</v>
      </c>
      <c r="AG127" s="2">
        <f t="shared" si="60"/>
        <v>0</v>
      </c>
      <c r="AH127" s="2">
        <f t="shared" si="60"/>
        <v>0</v>
      </c>
      <c r="AI127" s="2">
        <f t="shared" si="60"/>
        <v>0</v>
      </c>
      <c r="AJ127" s="2">
        <f t="shared" si="60"/>
        <v>0</v>
      </c>
      <c r="AK127" s="2">
        <f t="shared" si="60"/>
        <v>0</v>
      </c>
      <c r="AL127" s="2">
        <f t="shared" si="60"/>
        <v>0</v>
      </c>
      <c r="AM127" s="2">
        <f t="shared" si="60"/>
        <v>0</v>
      </c>
      <c r="AN127" s="2">
        <f t="shared" si="60"/>
        <v>0</v>
      </c>
      <c r="AO127" s="2">
        <f t="shared" si="60"/>
        <v>0</v>
      </c>
      <c r="AP127" s="2">
        <f t="shared" si="60"/>
        <v>0</v>
      </c>
      <c r="AQ127" s="2">
        <f t="shared" si="60"/>
        <v>0</v>
      </c>
      <c r="AR127" s="2">
        <f t="shared" si="60"/>
        <v>0</v>
      </c>
      <c r="AS127" s="2">
        <f t="shared" si="60"/>
        <v>0</v>
      </c>
      <c r="AT127" s="2">
        <f t="shared" si="60"/>
        <v>0</v>
      </c>
      <c r="AU127" s="2">
        <f t="shared" si="60"/>
        <v>0</v>
      </c>
      <c r="AV127" s="2">
        <f t="shared" si="60"/>
        <v>0</v>
      </c>
      <c r="AW127" s="2">
        <f t="shared" si="60"/>
        <v>0</v>
      </c>
      <c r="AX127" s="2">
        <f t="shared" si="60"/>
        <v>0</v>
      </c>
      <c r="AY127" s="2">
        <f t="shared" si="60"/>
        <v>0</v>
      </c>
      <c r="AZ127" s="2">
        <f t="shared" si="60"/>
        <v>0</v>
      </c>
      <c r="BA127" s="2">
        <f t="shared" si="60"/>
        <v>0</v>
      </c>
      <c r="BB127" s="2">
        <f t="shared" si="60"/>
        <v>0</v>
      </c>
      <c r="BC127" s="2">
        <f t="shared" si="60"/>
        <v>0</v>
      </c>
      <c r="BD127" s="2">
        <f t="shared" si="60"/>
        <v>0</v>
      </c>
      <c r="BE127" s="2">
        <f t="shared" si="60"/>
        <v>0</v>
      </c>
      <c r="BF127" s="2">
        <f t="shared" si="60"/>
        <v>0</v>
      </c>
      <c r="BG127" s="2">
        <f t="shared" si="60"/>
        <v>0</v>
      </c>
      <c r="BH127" s="2">
        <f t="shared" si="60"/>
        <v>0</v>
      </c>
      <c r="BI127" s="2">
        <f t="shared" si="60"/>
        <v>0</v>
      </c>
      <c r="BJ127" s="2">
        <f t="shared" si="60"/>
        <v>0</v>
      </c>
      <c r="BK127" s="2">
        <f t="shared" si="60"/>
        <v>0</v>
      </c>
      <c r="BL127" s="2">
        <f t="shared" si="60"/>
        <v>0</v>
      </c>
      <c r="BM127" s="2">
        <f t="shared" si="60"/>
        <v>0</v>
      </c>
      <c r="BN127" s="2">
        <f t="shared" si="60"/>
        <v>0</v>
      </c>
      <c r="BO127" s="2">
        <f t="shared" si="60"/>
        <v>0</v>
      </c>
      <c r="BP127" s="2">
        <f t="shared" si="60"/>
        <v>0</v>
      </c>
      <c r="BQ127" s="2">
        <f t="shared" si="60"/>
        <v>0</v>
      </c>
    </row>
    <row r="128" spans="1:69" outlineLevel="2">
      <c r="E128" s="47" t="s">
        <v>102</v>
      </c>
      <c r="H128" s="2">
        <f xml:space="preserve"> SUM( J128:BQ128 )</f>
        <v>1</v>
      </c>
      <c r="J128" s="2">
        <f t="shared" ref="J128:BQ128" si="61" xml:space="preserve">  J126 * J127</f>
        <v>1</v>
      </c>
      <c r="K128" s="2">
        <f t="shared" si="61"/>
        <v>0</v>
      </c>
      <c r="L128" s="2">
        <f t="shared" si="61"/>
        <v>0</v>
      </c>
      <c r="M128" s="2">
        <f t="shared" si="61"/>
        <v>0</v>
      </c>
      <c r="N128" s="2">
        <f t="shared" si="61"/>
        <v>0</v>
      </c>
      <c r="O128" s="2">
        <f t="shared" si="61"/>
        <v>0</v>
      </c>
      <c r="P128" s="2">
        <f t="shared" si="61"/>
        <v>0</v>
      </c>
      <c r="Q128" s="2">
        <f t="shared" si="61"/>
        <v>0</v>
      </c>
      <c r="R128" s="2">
        <f t="shared" si="61"/>
        <v>0</v>
      </c>
      <c r="S128" s="2">
        <f t="shared" si="61"/>
        <v>0</v>
      </c>
      <c r="T128" s="2">
        <f t="shared" si="61"/>
        <v>0</v>
      </c>
      <c r="U128" s="2">
        <f t="shared" si="61"/>
        <v>0</v>
      </c>
      <c r="V128" s="2">
        <f t="shared" si="61"/>
        <v>0</v>
      </c>
      <c r="W128" s="2">
        <f t="shared" si="61"/>
        <v>0</v>
      </c>
      <c r="X128" s="2">
        <f t="shared" si="61"/>
        <v>0</v>
      </c>
      <c r="Y128" s="2">
        <f t="shared" si="61"/>
        <v>0</v>
      </c>
      <c r="Z128" s="2">
        <f t="shared" si="61"/>
        <v>0</v>
      </c>
      <c r="AA128" s="2">
        <f t="shared" si="61"/>
        <v>0</v>
      </c>
      <c r="AB128" s="2">
        <f t="shared" si="61"/>
        <v>0</v>
      </c>
      <c r="AC128" s="2">
        <f t="shared" si="61"/>
        <v>0</v>
      </c>
      <c r="AD128" s="2">
        <f t="shared" si="61"/>
        <v>0</v>
      </c>
      <c r="AE128" s="2">
        <f t="shared" si="61"/>
        <v>0</v>
      </c>
      <c r="AF128" s="2">
        <f t="shared" si="61"/>
        <v>0</v>
      </c>
      <c r="AG128" s="2">
        <f t="shared" si="61"/>
        <v>0</v>
      </c>
      <c r="AH128" s="2">
        <f t="shared" si="61"/>
        <v>0</v>
      </c>
      <c r="AI128" s="2">
        <f t="shared" si="61"/>
        <v>0</v>
      </c>
      <c r="AJ128" s="2">
        <f t="shared" si="61"/>
        <v>0</v>
      </c>
      <c r="AK128" s="2">
        <f t="shared" si="61"/>
        <v>0</v>
      </c>
      <c r="AL128" s="2">
        <f t="shared" si="61"/>
        <v>0</v>
      </c>
      <c r="AM128" s="2">
        <f t="shared" si="61"/>
        <v>0</v>
      </c>
      <c r="AN128" s="2">
        <f t="shared" si="61"/>
        <v>0</v>
      </c>
      <c r="AO128" s="2">
        <f t="shared" si="61"/>
        <v>0</v>
      </c>
      <c r="AP128" s="2">
        <f t="shared" si="61"/>
        <v>0</v>
      </c>
      <c r="AQ128" s="2">
        <f t="shared" si="61"/>
        <v>0</v>
      </c>
      <c r="AR128" s="2">
        <f t="shared" si="61"/>
        <v>0</v>
      </c>
      <c r="AS128" s="2">
        <f t="shared" si="61"/>
        <v>0</v>
      </c>
      <c r="AT128" s="2">
        <f t="shared" si="61"/>
        <v>0</v>
      </c>
      <c r="AU128" s="2">
        <f t="shared" si="61"/>
        <v>0</v>
      </c>
      <c r="AV128" s="2">
        <f t="shared" si="61"/>
        <v>0</v>
      </c>
      <c r="AW128" s="2">
        <f t="shared" si="61"/>
        <v>0</v>
      </c>
      <c r="AX128" s="2">
        <f t="shared" si="61"/>
        <v>0</v>
      </c>
      <c r="AY128" s="2">
        <f t="shared" si="61"/>
        <v>0</v>
      </c>
      <c r="AZ128" s="2">
        <f t="shared" si="61"/>
        <v>0</v>
      </c>
      <c r="BA128" s="2">
        <f t="shared" si="61"/>
        <v>0</v>
      </c>
      <c r="BB128" s="2">
        <f t="shared" si="61"/>
        <v>0</v>
      </c>
      <c r="BC128" s="2">
        <f t="shared" si="61"/>
        <v>0</v>
      </c>
      <c r="BD128" s="2">
        <f t="shared" si="61"/>
        <v>0</v>
      </c>
      <c r="BE128" s="2">
        <f t="shared" si="61"/>
        <v>0</v>
      </c>
      <c r="BF128" s="2">
        <f t="shared" si="61"/>
        <v>0</v>
      </c>
      <c r="BG128" s="2">
        <f t="shared" si="61"/>
        <v>0</v>
      </c>
      <c r="BH128" s="2">
        <f t="shared" si="61"/>
        <v>0</v>
      </c>
      <c r="BI128" s="2">
        <f t="shared" si="61"/>
        <v>0</v>
      </c>
      <c r="BJ128" s="2">
        <f t="shared" si="61"/>
        <v>0</v>
      </c>
      <c r="BK128" s="2">
        <f t="shared" si="61"/>
        <v>0</v>
      </c>
      <c r="BL128" s="2">
        <f t="shared" si="61"/>
        <v>0</v>
      </c>
      <c r="BM128" s="2">
        <f t="shared" si="61"/>
        <v>0</v>
      </c>
      <c r="BN128" s="2">
        <f t="shared" si="61"/>
        <v>0</v>
      </c>
      <c r="BO128" s="2">
        <f t="shared" si="61"/>
        <v>0</v>
      </c>
      <c r="BP128" s="2">
        <f t="shared" si="61"/>
        <v>0</v>
      </c>
      <c r="BQ128" s="2">
        <f t="shared" si="61"/>
        <v>0</v>
      </c>
    </row>
    <row r="129" spans="1:69" outlineLevel="1"/>
    <row r="130" spans="1:69" outlineLevel="1"/>
    <row r="131" spans="1:69" outlineLevel="1">
      <c r="B131" s="25" t="s">
        <v>103</v>
      </c>
    </row>
    <row r="132" spans="1:69" outlineLevel="2">
      <c r="E132" s="2" t="str">
        <f t="shared" ref="E132:BQ132" si="62" xml:space="preserve">  E$128</f>
        <v>First Customer Order Growth escalation period</v>
      </c>
      <c r="F132" s="2">
        <f t="shared" si="62"/>
        <v>0</v>
      </c>
      <c r="G132" s="2">
        <f t="shared" si="62"/>
        <v>0</v>
      </c>
      <c r="H132" s="2">
        <f t="shared" si="62"/>
        <v>1</v>
      </c>
      <c r="I132" s="2">
        <f t="shared" si="62"/>
        <v>0</v>
      </c>
      <c r="J132" s="2">
        <f t="shared" si="62"/>
        <v>1</v>
      </c>
      <c r="K132" s="2">
        <f t="shared" si="62"/>
        <v>0</v>
      </c>
      <c r="L132" s="2">
        <f t="shared" si="62"/>
        <v>0</v>
      </c>
      <c r="M132" s="2">
        <f t="shared" si="62"/>
        <v>0</v>
      </c>
      <c r="N132" s="2">
        <f t="shared" si="62"/>
        <v>0</v>
      </c>
      <c r="O132" s="2">
        <f t="shared" si="62"/>
        <v>0</v>
      </c>
      <c r="P132" s="2">
        <f t="shared" si="62"/>
        <v>0</v>
      </c>
      <c r="Q132" s="2">
        <f t="shared" si="62"/>
        <v>0</v>
      </c>
      <c r="R132" s="2">
        <f t="shared" si="62"/>
        <v>0</v>
      </c>
      <c r="S132" s="2">
        <f t="shared" si="62"/>
        <v>0</v>
      </c>
      <c r="T132" s="2">
        <f t="shared" si="62"/>
        <v>0</v>
      </c>
      <c r="U132" s="2">
        <f t="shared" si="62"/>
        <v>0</v>
      </c>
      <c r="V132" s="2">
        <f t="shared" si="62"/>
        <v>0</v>
      </c>
      <c r="W132" s="2">
        <f t="shared" si="62"/>
        <v>0</v>
      </c>
      <c r="X132" s="2">
        <f t="shared" si="62"/>
        <v>0</v>
      </c>
      <c r="Y132" s="2">
        <f t="shared" si="62"/>
        <v>0</v>
      </c>
      <c r="Z132" s="2">
        <f t="shared" si="62"/>
        <v>0</v>
      </c>
      <c r="AA132" s="2">
        <f t="shared" si="62"/>
        <v>0</v>
      </c>
      <c r="AB132" s="2">
        <f t="shared" si="62"/>
        <v>0</v>
      </c>
      <c r="AC132" s="2">
        <f t="shared" si="62"/>
        <v>0</v>
      </c>
      <c r="AD132" s="2">
        <f t="shared" si="62"/>
        <v>0</v>
      </c>
      <c r="AE132" s="2">
        <f t="shared" si="62"/>
        <v>0</v>
      </c>
      <c r="AF132" s="2">
        <f t="shared" si="62"/>
        <v>0</v>
      </c>
      <c r="AG132" s="2">
        <f t="shared" si="62"/>
        <v>0</v>
      </c>
      <c r="AH132" s="2">
        <f t="shared" si="62"/>
        <v>0</v>
      </c>
      <c r="AI132" s="2">
        <f t="shared" si="62"/>
        <v>0</v>
      </c>
      <c r="AJ132" s="2">
        <f t="shared" si="62"/>
        <v>0</v>
      </c>
      <c r="AK132" s="2">
        <f t="shared" si="62"/>
        <v>0</v>
      </c>
      <c r="AL132" s="2">
        <f t="shared" si="62"/>
        <v>0</v>
      </c>
      <c r="AM132" s="2">
        <f t="shared" si="62"/>
        <v>0</v>
      </c>
      <c r="AN132" s="2">
        <f t="shared" si="62"/>
        <v>0</v>
      </c>
      <c r="AO132" s="2">
        <f t="shared" si="62"/>
        <v>0</v>
      </c>
      <c r="AP132" s="2">
        <f t="shared" si="62"/>
        <v>0</v>
      </c>
      <c r="AQ132" s="2">
        <f t="shared" si="62"/>
        <v>0</v>
      </c>
      <c r="AR132" s="2">
        <f t="shared" si="62"/>
        <v>0</v>
      </c>
      <c r="AS132" s="2">
        <f t="shared" si="62"/>
        <v>0</v>
      </c>
      <c r="AT132" s="2">
        <f t="shared" si="62"/>
        <v>0</v>
      </c>
      <c r="AU132" s="2">
        <f t="shared" si="62"/>
        <v>0</v>
      </c>
      <c r="AV132" s="2">
        <f t="shared" si="62"/>
        <v>0</v>
      </c>
      <c r="AW132" s="2">
        <f t="shared" si="62"/>
        <v>0</v>
      </c>
      <c r="AX132" s="2">
        <f t="shared" si="62"/>
        <v>0</v>
      </c>
      <c r="AY132" s="2">
        <f t="shared" si="62"/>
        <v>0</v>
      </c>
      <c r="AZ132" s="2">
        <f t="shared" si="62"/>
        <v>0</v>
      </c>
      <c r="BA132" s="2">
        <f t="shared" si="62"/>
        <v>0</v>
      </c>
      <c r="BB132" s="2">
        <f t="shared" si="62"/>
        <v>0</v>
      </c>
      <c r="BC132" s="2">
        <f t="shared" si="62"/>
        <v>0</v>
      </c>
      <c r="BD132" s="2">
        <f t="shared" si="62"/>
        <v>0</v>
      </c>
      <c r="BE132" s="2">
        <f t="shared" si="62"/>
        <v>0</v>
      </c>
      <c r="BF132" s="2">
        <f t="shared" si="62"/>
        <v>0</v>
      </c>
      <c r="BG132" s="2">
        <f t="shared" si="62"/>
        <v>0</v>
      </c>
      <c r="BH132" s="2">
        <f t="shared" si="62"/>
        <v>0</v>
      </c>
      <c r="BI132" s="2">
        <f t="shared" si="62"/>
        <v>0</v>
      </c>
      <c r="BJ132" s="2">
        <f t="shared" si="62"/>
        <v>0</v>
      </c>
      <c r="BK132" s="2">
        <f t="shared" si="62"/>
        <v>0</v>
      </c>
      <c r="BL132" s="2">
        <f t="shared" si="62"/>
        <v>0</v>
      </c>
      <c r="BM132" s="2">
        <f t="shared" si="62"/>
        <v>0</v>
      </c>
      <c r="BN132" s="2">
        <f t="shared" si="62"/>
        <v>0</v>
      </c>
      <c r="BO132" s="2">
        <f t="shared" si="62"/>
        <v>0</v>
      </c>
      <c r="BP132" s="2">
        <f t="shared" si="62"/>
        <v>0</v>
      </c>
      <c r="BQ132" s="2">
        <f t="shared" si="62"/>
        <v>0</v>
      </c>
    </row>
    <row r="133" spans="1:69" outlineLevel="2">
      <c r="E133" s="47" t="s">
        <v>103</v>
      </c>
      <c r="F133" s="2">
        <f xml:space="preserve">  SUM( $J132:$BQ132 )</f>
        <v>1</v>
      </c>
      <c r="M133" s="2"/>
    </row>
    <row r="134" spans="1:69" outlineLevel="1"/>
    <row r="135" spans="1:69" outlineLevel="1"/>
    <row r="136" spans="1:69" outlineLevel="1">
      <c r="B136" s="25" t="s">
        <v>196</v>
      </c>
    </row>
    <row r="137" spans="1:69" outlineLevel="2">
      <c r="E137" s="2" t="str">
        <f t="shared" ref="E137:G137" si="63" xml:space="preserve">  E$133</f>
        <v>Period of first Customer Order Growth escalation</v>
      </c>
      <c r="F137" s="2">
        <f t="shared" si="63"/>
        <v>1</v>
      </c>
      <c r="G137" s="2">
        <f t="shared" si="63"/>
        <v>0</v>
      </c>
      <c r="M137" s="2"/>
    </row>
    <row r="138" spans="1:69" outlineLevel="2">
      <c r="A138" s="18"/>
      <c r="B138" s="18"/>
      <c r="C138" s="28"/>
      <c r="D138" s="27"/>
      <c r="E138" s="4" t="str">
        <f xml:space="preserve">  InpC!E$18</f>
        <v>Customer Order Growth escalation frequency</v>
      </c>
      <c r="F138" s="4">
        <f xml:space="preserve">  InpC!F$18</f>
        <v>1</v>
      </c>
      <c r="G138" s="4">
        <f xml:space="preserve">  InpC!G$18</f>
        <v>0</v>
      </c>
      <c r="M138" s="2"/>
    </row>
    <row r="139" spans="1:69" outlineLevel="2">
      <c r="A139" s="18"/>
      <c r="B139" s="18"/>
      <c r="C139" s="28"/>
      <c r="D139" s="27"/>
      <c r="E139" s="4" t="str">
        <f xml:space="preserve">  InpC!E$100</f>
        <v>Months per period (Primary)</v>
      </c>
      <c r="F139" s="4">
        <f xml:space="preserve">  InpC!F$100</f>
        <v>1</v>
      </c>
      <c r="G139" s="4" t="str">
        <f xml:space="preserve">  InpC!G$100</f>
        <v>Months</v>
      </c>
      <c r="M139" s="2"/>
    </row>
    <row r="140" spans="1:69" outlineLevel="2">
      <c r="E140" s="5" t="str">
        <f t="shared" ref="E140:BQ140" si="64" xml:space="preserve">  E$28</f>
        <v>Period number</v>
      </c>
      <c r="F140" s="5">
        <f t="shared" si="64"/>
        <v>0</v>
      </c>
      <c r="G140" s="5" t="str">
        <f t="shared" si="64"/>
        <v>Counter</v>
      </c>
      <c r="H140" s="5">
        <f t="shared" si="64"/>
        <v>0</v>
      </c>
      <c r="I140" s="5">
        <f t="shared" si="64"/>
        <v>0</v>
      </c>
      <c r="J140" s="5">
        <f t="shared" si="64"/>
        <v>1</v>
      </c>
      <c r="K140" s="5">
        <f t="shared" si="64"/>
        <v>2</v>
      </c>
      <c r="L140" s="5">
        <f t="shared" si="64"/>
        <v>3</v>
      </c>
      <c r="M140" s="5">
        <f t="shared" si="64"/>
        <v>4</v>
      </c>
      <c r="N140" s="5">
        <f t="shared" si="64"/>
        <v>5</v>
      </c>
      <c r="O140" s="5">
        <f t="shared" si="64"/>
        <v>6</v>
      </c>
      <c r="P140" s="5">
        <f t="shared" si="64"/>
        <v>7</v>
      </c>
      <c r="Q140" s="5">
        <f t="shared" si="64"/>
        <v>8</v>
      </c>
      <c r="R140" s="5">
        <f t="shared" si="64"/>
        <v>9</v>
      </c>
      <c r="S140" s="5">
        <f t="shared" si="64"/>
        <v>10</v>
      </c>
      <c r="T140" s="5">
        <f t="shared" si="64"/>
        <v>11</v>
      </c>
      <c r="U140" s="5">
        <f t="shared" si="64"/>
        <v>12</v>
      </c>
      <c r="V140" s="5">
        <f t="shared" si="64"/>
        <v>13</v>
      </c>
      <c r="W140" s="5">
        <f t="shared" si="64"/>
        <v>14</v>
      </c>
      <c r="X140" s="5">
        <f t="shared" si="64"/>
        <v>15</v>
      </c>
      <c r="Y140" s="5">
        <f t="shared" si="64"/>
        <v>16</v>
      </c>
      <c r="Z140" s="5">
        <f t="shared" si="64"/>
        <v>17</v>
      </c>
      <c r="AA140" s="5">
        <f t="shared" si="64"/>
        <v>18</v>
      </c>
      <c r="AB140" s="5">
        <f t="shared" si="64"/>
        <v>19</v>
      </c>
      <c r="AC140" s="5">
        <f t="shared" si="64"/>
        <v>20</v>
      </c>
      <c r="AD140" s="5">
        <f t="shared" si="64"/>
        <v>21</v>
      </c>
      <c r="AE140" s="5">
        <f t="shared" si="64"/>
        <v>22</v>
      </c>
      <c r="AF140" s="5">
        <f t="shared" si="64"/>
        <v>23</v>
      </c>
      <c r="AG140" s="5">
        <f t="shared" si="64"/>
        <v>24</v>
      </c>
      <c r="AH140" s="5">
        <f t="shared" si="64"/>
        <v>25</v>
      </c>
      <c r="AI140" s="5">
        <f t="shared" si="64"/>
        <v>26</v>
      </c>
      <c r="AJ140" s="5">
        <f t="shared" si="64"/>
        <v>27</v>
      </c>
      <c r="AK140" s="5">
        <f t="shared" si="64"/>
        <v>28</v>
      </c>
      <c r="AL140" s="5">
        <f t="shared" si="64"/>
        <v>29</v>
      </c>
      <c r="AM140" s="5">
        <f t="shared" si="64"/>
        <v>30</v>
      </c>
      <c r="AN140" s="5">
        <f t="shared" si="64"/>
        <v>31</v>
      </c>
      <c r="AO140" s="5">
        <f t="shared" si="64"/>
        <v>32</v>
      </c>
      <c r="AP140" s="5">
        <f t="shared" si="64"/>
        <v>33</v>
      </c>
      <c r="AQ140" s="5">
        <f t="shared" si="64"/>
        <v>34</v>
      </c>
      <c r="AR140" s="5">
        <f t="shared" si="64"/>
        <v>35</v>
      </c>
      <c r="AS140" s="5">
        <f t="shared" si="64"/>
        <v>36</v>
      </c>
      <c r="AT140" s="5">
        <f t="shared" si="64"/>
        <v>37</v>
      </c>
      <c r="AU140" s="5">
        <f t="shared" si="64"/>
        <v>38</v>
      </c>
      <c r="AV140" s="5">
        <f t="shared" si="64"/>
        <v>39</v>
      </c>
      <c r="AW140" s="5">
        <f t="shared" si="64"/>
        <v>40</v>
      </c>
      <c r="AX140" s="5">
        <f t="shared" si="64"/>
        <v>41</v>
      </c>
      <c r="AY140" s="5">
        <f t="shared" si="64"/>
        <v>42</v>
      </c>
      <c r="AZ140" s="5">
        <f t="shared" si="64"/>
        <v>43</v>
      </c>
      <c r="BA140" s="5">
        <f t="shared" si="64"/>
        <v>44</v>
      </c>
      <c r="BB140" s="5">
        <f t="shared" si="64"/>
        <v>45</v>
      </c>
      <c r="BC140" s="5">
        <f t="shared" si="64"/>
        <v>46</v>
      </c>
      <c r="BD140" s="5">
        <f t="shared" si="64"/>
        <v>47</v>
      </c>
      <c r="BE140" s="5">
        <f t="shared" si="64"/>
        <v>48</v>
      </c>
      <c r="BF140" s="5">
        <f t="shared" si="64"/>
        <v>49</v>
      </c>
      <c r="BG140" s="5">
        <f t="shared" si="64"/>
        <v>50</v>
      </c>
      <c r="BH140" s="5">
        <f t="shared" si="64"/>
        <v>51</v>
      </c>
      <c r="BI140" s="5">
        <f t="shared" si="64"/>
        <v>52</v>
      </c>
      <c r="BJ140" s="5">
        <f t="shared" si="64"/>
        <v>53</v>
      </c>
      <c r="BK140" s="5">
        <f t="shared" si="64"/>
        <v>54</v>
      </c>
      <c r="BL140" s="5">
        <f t="shared" si="64"/>
        <v>55</v>
      </c>
      <c r="BM140" s="5">
        <f t="shared" si="64"/>
        <v>56</v>
      </c>
      <c r="BN140" s="5">
        <f t="shared" si="64"/>
        <v>57</v>
      </c>
      <c r="BO140" s="5">
        <f t="shared" si="64"/>
        <v>58</v>
      </c>
      <c r="BP140" s="5">
        <f t="shared" si="64"/>
        <v>59</v>
      </c>
      <c r="BQ140" s="5">
        <f t="shared" si="64"/>
        <v>60</v>
      </c>
    </row>
    <row r="141" spans="1:69" outlineLevel="2">
      <c r="E141" s="2" t="str">
        <f t="shared" ref="E141:BQ141" si="65" xml:space="preserve">  E$115</f>
        <v>Customer Order Growth escalation duration flag</v>
      </c>
      <c r="F141" s="2">
        <f t="shared" si="65"/>
        <v>0</v>
      </c>
      <c r="G141" s="2" t="str">
        <f t="shared" si="65"/>
        <v>flag</v>
      </c>
      <c r="H141" s="2">
        <f t="shared" si="65"/>
        <v>60</v>
      </c>
      <c r="I141" s="2">
        <f t="shared" si="65"/>
        <v>0</v>
      </c>
      <c r="J141" s="2">
        <f t="shared" si="65"/>
        <v>1</v>
      </c>
      <c r="K141" s="2">
        <f t="shared" si="65"/>
        <v>1</v>
      </c>
      <c r="L141" s="2">
        <f t="shared" si="65"/>
        <v>1</v>
      </c>
      <c r="M141" s="2">
        <f t="shared" si="65"/>
        <v>1</v>
      </c>
      <c r="N141" s="2">
        <f t="shared" si="65"/>
        <v>1</v>
      </c>
      <c r="O141" s="2">
        <f t="shared" si="65"/>
        <v>1</v>
      </c>
      <c r="P141" s="2">
        <f t="shared" si="65"/>
        <v>1</v>
      </c>
      <c r="Q141" s="2">
        <f t="shared" si="65"/>
        <v>1</v>
      </c>
      <c r="R141" s="2">
        <f t="shared" si="65"/>
        <v>1</v>
      </c>
      <c r="S141" s="2">
        <f t="shared" si="65"/>
        <v>1</v>
      </c>
      <c r="T141" s="2">
        <f t="shared" si="65"/>
        <v>1</v>
      </c>
      <c r="U141" s="2">
        <f t="shared" si="65"/>
        <v>1</v>
      </c>
      <c r="V141" s="2">
        <f t="shared" si="65"/>
        <v>1</v>
      </c>
      <c r="W141" s="2">
        <f t="shared" si="65"/>
        <v>1</v>
      </c>
      <c r="X141" s="2">
        <f t="shared" si="65"/>
        <v>1</v>
      </c>
      <c r="Y141" s="2">
        <f t="shared" si="65"/>
        <v>1</v>
      </c>
      <c r="Z141" s="2">
        <f t="shared" si="65"/>
        <v>1</v>
      </c>
      <c r="AA141" s="2">
        <f t="shared" si="65"/>
        <v>1</v>
      </c>
      <c r="AB141" s="2">
        <f t="shared" si="65"/>
        <v>1</v>
      </c>
      <c r="AC141" s="2">
        <f t="shared" si="65"/>
        <v>1</v>
      </c>
      <c r="AD141" s="2">
        <f t="shared" si="65"/>
        <v>1</v>
      </c>
      <c r="AE141" s="2">
        <f t="shared" si="65"/>
        <v>1</v>
      </c>
      <c r="AF141" s="2">
        <f t="shared" si="65"/>
        <v>1</v>
      </c>
      <c r="AG141" s="2">
        <f t="shared" si="65"/>
        <v>1</v>
      </c>
      <c r="AH141" s="2">
        <f t="shared" si="65"/>
        <v>1</v>
      </c>
      <c r="AI141" s="2">
        <f t="shared" si="65"/>
        <v>1</v>
      </c>
      <c r="AJ141" s="2">
        <f t="shared" si="65"/>
        <v>1</v>
      </c>
      <c r="AK141" s="2">
        <f t="shared" si="65"/>
        <v>1</v>
      </c>
      <c r="AL141" s="2">
        <f t="shared" si="65"/>
        <v>1</v>
      </c>
      <c r="AM141" s="2">
        <f t="shared" si="65"/>
        <v>1</v>
      </c>
      <c r="AN141" s="2">
        <f t="shared" si="65"/>
        <v>1</v>
      </c>
      <c r="AO141" s="2">
        <f t="shared" si="65"/>
        <v>1</v>
      </c>
      <c r="AP141" s="2">
        <f t="shared" si="65"/>
        <v>1</v>
      </c>
      <c r="AQ141" s="2">
        <f t="shared" si="65"/>
        <v>1</v>
      </c>
      <c r="AR141" s="2">
        <f t="shared" si="65"/>
        <v>1</v>
      </c>
      <c r="AS141" s="2">
        <f t="shared" si="65"/>
        <v>1</v>
      </c>
      <c r="AT141" s="2">
        <f t="shared" si="65"/>
        <v>1</v>
      </c>
      <c r="AU141" s="2">
        <f t="shared" si="65"/>
        <v>1</v>
      </c>
      <c r="AV141" s="2">
        <f t="shared" si="65"/>
        <v>1</v>
      </c>
      <c r="AW141" s="2">
        <f t="shared" si="65"/>
        <v>1</v>
      </c>
      <c r="AX141" s="2">
        <f t="shared" si="65"/>
        <v>1</v>
      </c>
      <c r="AY141" s="2">
        <f t="shared" si="65"/>
        <v>1</v>
      </c>
      <c r="AZ141" s="2">
        <f t="shared" si="65"/>
        <v>1</v>
      </c>
      <c r="BA141" s="2">
        <f t="shared" si="65"/>
        <v>1</v>
      </c>
      <c r="BB141" s="2">
        <f t="shared" si="65"/>
        <v>1</v>
      </c>
      <c r="BC141" s="2">
        <f t="shared" si="65"/>
        <v>1</v>
      </c>
      <c r="BD141" s="2">
        <f t="shared" si="65"/>
        <v>1</v>
      </c>
      <c r="BE141" s="2">
        <f t="shared" si="65"/>
        <v>1</v>
      </c>
      <c r="BF141" s="2">
        <f t="shared" si="65"/>
        <v>1</v>
      </c>
      <c r="BG141" s="2">
        <f t="shared" si="65"/>
        <v>1</v>
      </c>
      <c r="BH141" s="2">
        <f t="shared" si="65"/>
        <v>1</v>
      </c>
      <c r="BI141" s="2">
        <f t="shared" si="65"/>
        <v>1</v>
      </c>
      <c r="BJ141" s="2">
        <f t="shared" si="65"/>
        <v>1</v>
      </c>
      <c r="BK141" s="2">
        <f t="shared" si="65"/>
        <v>1</v>
      </c>
      <c r="BL141" s="2">
        <f t="shared" si="65"/>
        <v>1</v>
      </c>
      <c r="BM141" s="2">
        <f t="shared" si="65"/>
        <v>1</v>
      </c>
      <c r="BN141" s="2">
        <f t="shared" si="65"/>
        <v>1</v>
      </c>
      <c r="BO141" s="2">
        <f t="shared" si="65"/>
        <v>1</v>
      </c>
      <c r="BP141" s="2">
        <f t="shared" si="65"/>
        <v>1</v>
      </c>
      <c r="BQ141" s="2">
        <f t="shared" si="65"/>
        <v>1</v>
      </c>
    </row>
    <row r="142" spans="1:69" outlineLevel="2">
      <c r="E142" s="47" t="s">
        <v>196</v>
      </c>
      <c r="G142" s="47" t="s">
        <v>20</v>
      </c>
      <c r="H142" s="2">
        <f xml:space="preserve"> SUM( J142:BQ142 )</f>
        <v>60</v>
      </c>
      <c r="J142" s="2">
        <f t="shared" ref="J142:BQ142" si="66" xml:space="preserve">  IF( MOD( J140 - $F137, $F138 / $F139 ) = 0, 1, 0 ) * J141</f>
        <v>1</v>
      </c>
      <c r="K142" s="2">
        <f t="shared" si="66"/>
        <v>1</v>
      </c>
      <c r="L142" s="2">
        <f t="shared" si="66"/>
        <v>1</v>
      </c>
      <c r="M142" s="2">
        <f t="shared" si="66"/>
        <v>1</v>
      </c>
      <c r="N142" s="2">
        <f t="shared" si="66"/>
        <v>1</v>
      </c>
      <c r="O142" s="2">
        <f t="shared" si="66"/>
        <v>1</v>
      </c>
      <c r="P142" s="2">
        <f t="shared" si="66"/>
        <v>1</v>
      </c>
      <c r="Q142" s="2">
        <f t="shared" si="66"/>
        <v>1</v>
      </c>
      <c r="R142" s="2">
        <f t="shared" si="66"/>
        <v>1</v>
      </c>
      <c r="S142" s="2">
        <f t="shared" si="66"/>
        <v>1</v>
      </c>
      <c r="T142" s="2">
        <f t="shared" si="66"/>
        <v>1</v>
      </c>
      <c r="U142" s="2">
        <f t="shared" si="66"/>
        <v>1</v>
      </c>
      <c r="V142" s="2">
        <f t="shared" si="66"/>
        <v>1</v>
      </c>
      <c r="W142" s="2">
        <f t="shared" si="66"/>
        <v>1</v>
      </c>
      <c r="X142" s="2">
        <f t="shared" si="66"/>
        <v>1</v>
      </c>
      <c r="Y142" s="2">
        <f t="shared" si="66"/>
        <v>1</v>
      </c>
      <c r="Z142" s="2">
        <f t="shared" si="66"/>
        <v>1</v>
      </c>
      <c r="AA142" s="2">
        <f t="shared" si="66"/>
        <v>1</v>
      </c>
      <c r="AB142" s="2">
        <f t="shared" si="66"/>
        <v>1</v>
      </c>
      <c r="AC142" s="2">
        <f t="shared" si="66"/>
        <v>1</v>
      </c>
      <c r="AD142" s="2">
        <f t="shared" si="66"/>
        <v>1</v>
      </c>
      <c r="AE142" s="2">
        <f t="shared" si="66"/>
        <v>1</v>
      </c>
      <c r="AF142" s="2">
        <f t="shared" si="66"/>
        <v>1</v>
      </c>
      <c r="AG142" s="2">
        <f t="shared" si="66"/>
        <v>1</v>
      </c>
      <c r="AH142" s="2">
        <f t="shared" si="66"/>
        <v>1</v>
      </c>
      <c r="AI142" s="2">
        <f t="shared" si="66"/>
        <v>1</v>
      </c>
      <c r="AJ142" s="2">
        <f t="shared" si="66"/>
        <v>1</v>
      </c>
      <c r="AK142" s="2">
        <f t="shared" si="66"/>
        <v>1</v>
      </c>
      <c r="AL142" s="2">
        <f t="shared" si="66"/>
        <v>1</v>
      </c>
      <c r="AM142" s="2">
        <f t="shared" si="66"/>
        <v>1</v>
      </c>
      <c r="AN142" s="2">
        <f t="shared" si="66"/>
        <v>1</v>
      </c>
      <c r="AO142" s="2">
        <f t="shared" si="66"/>
        <v>1</v>
      </c>
      <c r="AP142" s="2">
        <f t="shared" si="66"/>
        <v>1</v>
      </c>
      <c r="AQ142" s="2">
        <f t="shared" si="66"/>
        <v>1</v>
      </c>
      <c r="AR142" s="2">
        <f t="shared" si="66"/>
        <v>1</v>
      </c>
      <c r="AS142" s="2">
        <f t="shared" si="66"/>
        <v>1</v>
      </c>
      <c r="AT142" s="2">
        <f t="shared" si="66"/>
        <v>1</v>
      </c>
      <c r="AU142" s="2">
        <f t="shared" si="66"/>
        <v>1</v>
      </c>
      <c r="AV142" s="2">
        <f t="shared" si="66"/>
        <v>1</v>
      </c>
      <c r="AW142" s="2">
        <f t="shared" si="66"/>
        <v>1</v>
      </c>
      <c r="AX142" s="2">
        <f t="shared" si="66"/>
        <v>1</v>
      </c>
      <c r="AY142" s="2">
        <f t="shared" si="66"/>
        <v>1</v>
      </c>
      <c r="AZ142" s="2">
        <f t="shared" si="66"/>
        <v>1</v>
      </c>
      <c r="BA142" s="2">
        <f t="shared" si="66"/>
        <v>1</v>
      </c>
      <c r="BB142" s="2">
        <f t="shared" si="66"/>
        <v>1</v>
      </c>
      <c r="BC142" s="2">
        <f t="shared" si="66"/>
        <v>1</v>
      </c>
      <c r="BD142" s="2">
        <f t="shared" si="66"/>
        <v>1</v>
      </c>
      <c r="BE142" s="2">
        <f t="shared" si="66"/>
        <v>1</v>
      </c>
      <c r="BF142" s="2">
        <f t="shared" si="66"/>
        <v>1</v>
      </c>
      <c r="BG142" s="2">
        <f t="shared" si="66"/>
        <v>1</v>
      </c>
      <c r="BH142" s="2">
        <f t="shared" si="66"/>
        <v>1</v>
      </c>
      <c r="BI142" s="2">
        <f t="shared" si="66"/>
        <v>1</v>
      </c>
      <c r="BJ142" s="2">
        <f t="shared" si="66"/>
        <v>1</v>
      </c>
      <c r="BK142" s="2">
        <f t="shared" si="66"/>
        <v>1</v>
      </c>
      <c r="BL142" s="2">
        <f t="shared" si="66"/>
        <v>1</v>
      </c>
      <c r="BM142" s="2">
        <f t="shared" si="66"/>
        <v>1</v>
      </c>
      <c r="BN142" s="2">
        <f t="shared" si="66"/>
        <v>1</v>
      </c>
      <c r="BO142" s="2">
        <f t="shared" si="66"/>
        <v>1</v>
      </c>
      <c r="BP142" s="2">
        <f t="shared" si="66"/>
        <v>1</v>
      </c>
      <c r="BQ142" s="2">
        <f t="shared" si="66"/>
        <v>1</v>
      </c>
    </row>
    <row r="143" spans="1:69" outlineLevel="1"/>
    <row r="144" spans="1:69" outlineLevel="1"/>
    <row r="145" spans="1:69" outlineLevel="1">
      <c r="B145" s="25" t="s">
        <v>104</v>
      </c>
    </row>
    <row r="146" spans="1:69" outlineLevel="2">
      <c r="A146" s="18"/>
      <c r="B146" s="18"/>
      <c r="C146" s="28"/>
      <c r="D146" s="27"/>
      <c r="E146" s="20" t="str">
        <f xml:space="preserve">  InpC!E$102</f>
        <v>Start date</v>
      </c>
      <c r="F146" s="20">
        <f xml:space="preserve">  InpC!F$102</f>
        <v>45047</v>
      </c>
      <c r="G146" s="20" t="str">
        <f xml:space="preserve">  InpC!G$102</f>
        <v>date</v>
      </c>
      <c r="M146" s="8"/>
    </row>
    <row r="147" spans="1:69" outlineLevel="2">
      <c r="E147" s="8" t="str">
        <f t="shared" ref="E147:BQ147" si="67" xml:space="preserve">  E$19</f>
        <v>Model period end</v>
      </c>
      <c r="F147" s="8">
        <f t="shared" si="67"/>
        <v>0</v>
      </c>
      <c r="G147" s="8" t="str">
        <f t="shared" si="67"/>
        <v>date</v>
      </c>
      <c r="H147" s="8">
        <f t="shared" si="67"/>
        <v>0</v>
      </c>
      <c r="I147" s="8">
        <f t="shared" si="67"/>
        <v>0</v>
      </c>
      <c r="J147" s="8">
        <f t="shared" si="67"/>
        <v>45077</v>
      </c>
      <c r="K147" s="8">
        <f t="shared" si="67"/>
        <v>45107</v>
      </c>
      <c r="L147" s="8">
        <f t="shared" si="67"/>
        <v>45138</v>
      </c>
      <c r="M147" s="8">
        <f t="shared" si="67"/>
        <v>45169</v>
      </c>
      <c r="N147" s="8">
        <f t="shared" si="67"/>
        <v>45199</v>
      </c>
      <c r="O147" s="8">
        <f t="shared" si="67"/>
        <v>45230</v>
      </c>
      <c r="P147" s="8">
        <f t="shared" si="67"/>
        <v>45260</v>
      </c>
      <c r="Q147" s="8">
        <f t="shared" si="67"/>
        <v>45291</v>
      </c>
      <c r="R147" s="8">
        <f t="shared" si="67"/>
        <v>45322</v>
      </c>
      <c r="S147" s="8">
        <f t="shared" si="67"/>
        <v>45351</v>
      </c>
      <c r="T147" s="8">
        <f t="shared" si="67"/>
        <v>45382</v>
      </c>
      <c r="U147" s="8">
        <f t="shared" si="67"/>
        <v>45412</v>
      </c>
      <c r="V147" s="8">
        <f t="shared" si="67"/>
        <v>45443</v>
      </c>
      <c r="W147" s="8">
        <f t="shared" si="67"/>
        <v>45473</v>
      </c>
      <c r="X147" s="8">
        <f t="shared" si="67"/>
        <v>45504</v>
      </c>
      <c r="Y147" s="8">
        <f t="shared" si="67"/>
        <v>45535</v>
      </c>
      <c r="Z147" s="8">
        <f t="shared" si="67"/>
        <v>45565</v>
      </c>
      <c r="AA147" s="8">
        <f t="shared" si="67"/>
        <v>45596</v>
      </c>
      <c r="AB147" s="8">
        <f t="shared" si="67"/>
        <v>45626</v>
      </c>
      <c r="AC147" s="8">
        <f t="shared" si="67"/>
        <v>45657</v>
      </c>
      <c r="AD147" s="8">
        <f t="shared" si="67"/>
        <v>45688</v>
      </c>
      <c r="AE147" s="8">
        <f t="shared" si="67"/>
        <v>45716</v>
      </c>
      <c r="AF147" s="8">
        <f t="shared" si="67"/>
        <v>45747</v>
      </c>
      <c r="AG147" s="8">
        <f t="shared" si="67"/>
        <v>45777</v>
      </c>
      <c r="AH147" s="8">
        <f t="shared" si="67"/>
        <v>45808</v>
      </c>
      <c r="AI147" s="8">
        <f t="shared" si="67"/>
        <v>45838</v>
      </c>
      <c r="AJ147" s="8">
        <f t="shared" si="67"/>
        <v>45869</v>
      </c>
      <c r="AK147" s="8">
        <f t="shared" si="67"/>
        <v>45900</v>
      </c>
      <c r="AL147" s="8">
        <f t="shared" si="67"/>
        <v>45930</v>
      </c>
      <c r="AM147" s="8">
        <f t="shared" si="67"/>
        <v>45961</v>
      </c>
      <c r="AN147" s="8">
        <f t="shared" si="67"/>
        <v>45991</v>
      </c>
      <c r="AO147" s="8">
        <f t="shared" si="67"/>
        <v>46022</v>
      </c>
      <c r="AP147" s="8">
        <f t="shared" si="67"/>
        <v>46053</v>
      </c>
      <c r="AQ147" s="8">
        <f t="shared" si="67"/>
        <v>46081</v>
      </c>
      <c r="AR147" s="8">
        <f t="shared" si="67"/>
        <v>46112</v>
      </c>
      <c r="AS147" s="8">
        <f t="shared" si="67"/>
        <v>46142</v>
      </c>
      <c r="AT147" s="8">
        <f t="shared" si="67"/>
        <v>46173</v>
      </c>
      <c r="AU147" s="8">
        <f t="shared" si="67"/>
        <v>46203</v>
      </c>
      <c r="AV147" s="8">
        <f t="shared" si="67"/>
        <v>46234</v>
      </c>
      <c r="AW147" s="8">
        <f t="shared" si="67"/>
        <v>46265</v>
      </c>
      <c r="AX147" s="8">
        <f t="shared" si="67"/>
        <v>46295</v>
      </c>
      <c r="AY147" s="8">
        <f t="shared" si="67"/>
        <v>46326</v>
      </c>
      <c r="AZ147" s="8">
        <f t="shared" si="67"/>
        <v>46356</v>
      </c>
      <c r="BA147" s="8">
        <f t="shared" si="67"/>
        <v>46387</v>
      </c>
      <c r="BB147" s="8">
        <f t="shared" si="67"/>
        <v>46418</v>
      </c>
      <c r="BC147" s="8">
        <f t="shared" si="67"/>
        <v>46446</v>
      </c>
      <c r="BD147" s="8">
        <f t="shared" si="67"/>
        <v>46477</v>
      </c>
      <c r="BE147" s="8">
        <f t="shared" si="67"/>
        <v>46507</v>
      </c>
      <c r="BF147" s="8">
        <f t="shared" si="67"/>
        <v>46538</v>
      </c>
      <c r="BG147" s="8">
        <f t="shared" si="67"/>
        <v>46568</v>
      </c>
      <c r="BH147" s="8">
        <f t="shared" si="67"/>
        <v>46599</v>
      </c>
      <c r="BI147" s="8">
        <f t="shared" si="67"/>
        <v>46630</v>
      </c>
      <c r="BJ147" s="8">
        <f t="shared" si="67"/>
        <v>46660</v>
      </c>
      <c r="BK147" s="8">
        <f t="shared" si="67"/>
        <v>46691</v>
      </c>
      <c r="BL147" s="8">
        <f t="shared" si="67"/>
        <v>46721</v>
      </c>
      <c r="BM147" s="8">
        <f t="shared" si="67"/>
        <v>46752</v>
      </c>
      <c r="BN147" s="8">
        <f t="shared" si="67"/>
        <v>46783</v>
      </c>
      <c r="BO147" s="8">
        <f t="shared" si="67"/>
        <v>46812</v>
      </c>
      <c r="BP147" s="8">
        <f t="shared" si="67"/>
        <v>46843</v>
      </c>
      <c r="BQ147" s="8">
        <f t="shared" si="67"/>
        <v>46873</v>
      </c>
    </row>
    <row r="148" spans="1:69" outlineLevel="2">
      <c r="E148" s="2" t="str">
        <f t="shared" ref="E148:BQ148" si="68" xml:space="preserve">  E$142</f>
        <v>Customer Order Growth escalation step up frequency flag</v>
      </c>
      <c r="F148" s="2">
        <f t="shared" si="68"/>
        <v>0</v>
      </c>
      <c r="G148" s="2" t="str">
        <f t="shared" si="68"/>
        <v>flag</v>
      </c>
      <c r="H148" s="2">
        <f t="shared" si="68"/>
        <v>60</v>
      </c>
      <c r="I148" s="2">
        <f t="shared" si="68"/>
        <v>0</v>
      </c>
      <c r="J148" s="2">
        <f t="shared" si="68"/>
        <v>1</v>
      </c>
      <c r="K148" s="2">
        <f t="shared" si="68"/>
        <v>1</v>
      </c>
      <c r="L148" s="2">
        <f t="shared" si="68"/>
        <v>1</v>
      </c>
      <c r="M148" s="2">
        <f t="shared" si="68"/>
        <v>1</v>
      </c>
      <c r="N148" s="2">
        <f t="shared" si="68"/>
        <v>1</v>
      </c>
      <c r="O148" s="2">
        <f t="shared" si="68"/>
        <v>1</v>
      </c>
      <c r="P148" s="2">
        <f t="shared" si="68"/>
        <v>1</v>
      </c>
      <c r="Q148" s="2">
        <f t="shared" si="68"/>
        <v>1</v>
      </c>
      <c r="R148" s="2">
        <f t="shared" si="68"/>
        <v>1</v>
      </c>
      <c r="S148" s="2">
        <f t="shared" si="68"/>
        <v>1</v>
      </c>
      <c r="T148" s="2">
        <f t="shared" si="68"/>
        <v>1</v>
      </c>
      <c r="U148" s="2">
        <f t="shared" si="68"/>
        <v>1</v>
      </c>
      <c r="V148" s="2">
        <f t="shared" si="68"/>
        <v>1</v>
      </c>
      <c r="W148" s="2">
        <f t="shared" si="68"/>
        <v>1</v>
      </c>
      <c r="X148" s="2">
        <f t="shared" si="68"/>
        <v>1</v>
      </c>
      <c r="Y148" s="2">
        <f t="shared" si="68"/>
        <v>1</v>
      </c>
      <c r="Z148" s="2">
        <f t="shared" si="68"/>
        <v>1</v>
      </c>
      <c r="AA148" s="2">
        <f t="shared" si="68"/>
        <v>1</v>
      </c>
      <c r="AB148" s="2">
        <f t="shared" si="68"/>
        <v>1</v>
      </c>
      <c r="AC148" s="2">
        <f t="shared" si="68"/>
        <v>1</v>
      </c>
      <c r="AD148" s="2">
        <f t="shared" si="68"/>
        <v>1</v>
      </c>
      <c r="AE148" s="2">
        <f t="shared" si="68"/>
        <v>1</v>
      </c>
      <c r="AF148" s="2">
        <f t="shared" si="68"/>
        <v>1</v>
      </c>
      <c r="AG148" s="2">
        <f t="shared" si="68"/>
        <v>1</v>
      </c>
      <c r="AH148" s="2">
        <f t="shared" si="68"/>
        <v>1</v>
      </c>
      <c r="AI148" s="2">
        <f t="shared" si="68"/>
        <v>1</v>
      </c>
      <c r="AJ148" s="2">
        <f t="shared" si="68"/>
        <v>1</v>
      </c>
      <c r="AK148" s="2">
        <f t="shared" si="68"/>
        <v>1</v>
      </c>
      <c r="AL148" s="2">
        <f t="shared" si="68"/>
        <v>1</v>
      </c>
      <c r="AM148" s="2">
        <f t="shared" si="68"/>
        <v>1</v>
      </c>
      <c r="AN148" s="2">
        <f t="shared" si="68"/>
        <v>1</v>
      </c>
      <c r="AO148" s="2">
        <f t="shared" si="68"/>
        <v>1</v>
      </c>
      <c r="AP148" s="2">
        <f t="shared" si="68"/>
        <v>1</v>
      </c>
      <c r="AQ148" s="2">
        <f t="shared" si="68"/>
        <v>1</v>
      </c>
      <c r="AR148" s="2">
        <f t="shared" si="68"/>
        <v>1</v>
      </c>
      <c r="AS148" s="2">
        <f t="shared" si="68"/>
        <v>1</v>
      </c>
      <c r="AT148" s="2">
        <f t="shared" si="68"/>
        <v>1</v>
      </c>
      <c r="AU148" s="2">
        <f t="shared" si="68"/>
        <v>1</v>
      </c>
      <c r="AV148" s="2">
        <f t="shared" si="68"/>
        <v>1</v>
      </c>
      <c r="AW148" s="2">
        <f t="shared" si="68"/>
        <v>1</v>
      </c>
      <c r="AX148" s="2">
        <f t="shared" si="68"/>
        <v>1</v>
      </c>
      <c r="AY148" s="2">
        <f t="shared" si="68"/>
        <v>1</v>
      </c>
      <c r="AZ148" s="2">
        <f t="shared" si="68"/>
        <v>1</v>
      </c>
      <c r="BA148" s="2">
        <f t="shared" si="68"/>
        <v>1</v>
      </c>
      <c r="BB148" s="2">
        <f t="shared" si="68"/>
        <v>1</v>
      </c>
      <c r="BC148" s="2">
        <f t="shared" si="68"/>
        <v>1</v>
      </c>
      <c r="BD148" s="2">
        <f t="shared" si="68"/>
        <v>1</v>
      </c>
      <c r="BE148" s="2">
        <f t="shared" si="68"/>
        <v>1</v>
      </c>
      <c r="BF148" s="2">
        <f t="shared" si="68"/>
        <v>1</v>
      </c>
      <c r="BG148" s="2">
        <f t="shared" si="68"/>
        <v>1</v>
      </c>
      <c r="BH148" s="2">
        <f t="shared" si="68"/>
        <v>1</v>
      </c>
      <c r="BI148" s="2">
        <f t="shared" si="68"/>
        <v>1</v>
      </c>
      <c r="BJ148" s="2">
        <f t="shared" si="68"/>
        <v>1</v>
      </c>
      <c r="BK148" s="2">
        <f t="shared" si="68"/>
        <v>1</v>
      </c>
      <c r="BL148" s="2">
        <f t="shared" si="68"/>
        <v>1</v>
      </c>
      <c r="BM148" s="2">
        <f t="shared" si="68"/>
        <v>1</v>
      </c>
      <c r="BN148" s="2">
        <f t="shared" si="68"/>
        <v>1</v>
      </c>
      <c r="BO148" s="2">
        <f t="shared" si="68"/>
        <v>1</v>
      </c>
      <c r="BP148" s="2">
        <f t="shared" si="68"/>
        <v>1</v>
      </c>
      <c r="BQ148" s="2">
        <f t="shared" si="68"/>
        <v>1</v>
      </c>
    </row>
    <row r="149" spans="1:69" outlineLevel="2">
      <c r="E149" s="47" t="s">
        <v>104</v>
      </c>
      <c r="G149" s="47" t="s">
        <v>214</v>
      </c>
      <c r="J149" s="8">
        <f t="shared" ref="J149:BQ149" si="69" xml:space="preserve">  DATE( YEAR( J147 ), MONTH( J147 ), DAY( $F146 ) ) * J148</f>
        <v>45047</v>
      </c>
      <c r="K149" s="8">
        <f t="shared" si="69"/>
        <v>45078</v>
      </c>
      <c r="L149" s="8">
        <f t="shared" si="69"/>
        <v>45108</v>
      </c>
      <c r="M149" s="8">
        <f t="shared" si="69"/>
        <v>45139</v>
      </c>
      <c r="N149" s="8">
        <f t="shared" si="69"/>
        <v>45170</v>
      </c>
      <c r="O149" s="8">
        <f t="shared" si="69"/>
        <v>45200</v>
      </c>
      <c r="P149" s="8">
        <f t="shared" si="69"/>
        <v>45231</v>
      </c>
      <c r="Q149" s="8">
        <f t="shared" si="69"/>
        <v>45261</v>
      </c>
      <c r="R149" s="8">
        <f t="shared" si="69"/>
        <v>45292</v>
      </c>
      <c r="S149" s="8">
        <f t="shared" si="69"/>
        <v>45323</v>
      </c>
      <c r="T149" s="8">
        <f t="shared" si="69"/>
        <v>45352</v>
      </c>
      <c r="U149" s="8">
        <f t="shared" si="69"/>
        <v>45383</v>
      </c>
      <c r="V149" s="8">
        <f t="shared" si="69"/>
        <v>45413</v>
      </c>
      <c r="W149" s="8">
        <f t="shared" si="69"/>
        <v>45444</v>
      </c>
      <c r="X149" s="8">
        <f t="shared" si="69"/>
        <v>45474</v>
      </c>
      <c r="Y149" s="8">
        <f t="shared" si="69"/>
        <v>45505</v>
      </c>
      <c r="Z149" s="8">
        <f t="shared" si="69"/>
        <v>45536</v>
      </c>
      <c r="AA149" s="8">
        <f t="shared" si="69"/>
        <v>45566</v>
      </c>
      <c r="AB149" s="8">
        <f t="shared" si="69"/>
        <v>45597</v>
      </c>
      <c r="AC149" s="8">
        <f t="shared" si="69"/>
        <v>45627</v>
      </c>
      <c r="AD149" s="8">
        <f t="shared" si="69"/>
        <v>45658</v>
      </c>
      <c r="AE149" s="8">
        <f t="shared" si="69"/>
        <v>45689</v>
      </c>
      <c r="AF149" s="8">
        <f t="shared" si="69"/>
        <v>45717</v>
      </c>
      <c r="AG149" s="8">
        <f t="shared" si="69"/>
        <v>45748</v>
      </c>
      <c r="AH149" s="8">
        <f t="shared" si="69"/>
        <v>45778</v>
      </c>
      <c r="AI149" s="8">
        <f t="shared" si="69"/>
        <v>45809</v>
      </c>
      <c r="AJ149" s="8">
        <f t="shared" si="69"/>
        <v>45839</v>
      </c>
      <c r="AK149" s="8">
        <f t="shared" si="69"/>
        <v>45870</v>
      </c>
      <c r="AL149" s="8">
        <f t="shared" si="69"/>
        <v>45901</v>
      </c>
      <c r="AM149" s="8">
        <f t="shared" si="69"/>
        <v>45931</v>
      </c>
      <c r="AN149" s="8">
        <f t="shared" si="69"/>
        <v>45962</v>
      </c>
      <c r="AO149" s="8">
        <f t="shared" si="69"/>
        <v>45992</v>
      </c>
      <c r="AP149" s="8">
        <f t="shared" si="69"/>
        <v>46023</v>
      </c>
      <c r="AQ149" s="8">
        <f t="shared" si="69"/>
        <v>46054</v>
      </c>
      <c r="AR149" s="8">
        <f t="shared" si="69"/>
        <v>46082</v>
      </c>
      <c r="AS149" s="8">
        <f t="shared" si="69"/>
        <v>46113</v>
      </c>
      <c r="AT149" s="8">
        <f t="shared" si="69"/>
        <v>46143</v>
      </c>
      <c r="AU149" s="8">
        <f t="shared" si="69"/>
        <v>46174</v>
      </c>
      <c r="AV149" s="8">
        <f t="shared" si="69"/>
        <v>46204</v>
      </c>
      <c r="AW149" s="8">
        <f t="shared" si="69"/>
        <v>46235</v>
      </c>
      <c r="AX149" s="8">
        <f t="shared" si="69"/>
        <v>46266</v>
      </c>
      <c r="AY149" s="8">
        <f t="shared" si="69"/>
        <v>46296</v>
      </c>
      <c r="AZ149" s="8">
        <f t="shared" si="69"/>
        <v>46327</v>
      </c>
      <c r="BA149" s="8">
        <f t="shared" si="69"/>
        <v>46357</v>
      </c>
      <c r="BB149" s="8">
        <f t="shared" si="69"/>
        <v>46388</v>
      </c>
      <c r="BC149" s="8">
        <f t="shared" si="69"/>
        <v>46419</v>
      </c>
      <c r="BD149" s="8">
        <f t="shared" si="69"/>
        <v>46447</v>
      </c>
      <c r="BE149" s="8">
        <f t="shared" si="69"/>
        <v>46478</v>
      </c>
      <c r="BF149" s="8">
        <f t="shared" si="69"/>
        <v>46508</v>
      </c>
      <c r="BG149" s="8">
        <f t="shared" si="69"/>
        <v>46539</v>
      </c>
      <c r="BH149" s="8">
        <f t="shared" si="69"/>
        <v>46569</v>
      </c>
      <c r="BI149" s="8">
        <f t="shared" si="69"/>
        <v>46600</v>
      </c>
      <c r="BJ149" s="8">
        <f t="shared" si="69"/>
        <v>46631</v>
      </c>
      <c r="BK149" s="8">
        <f t="shared" si="69"/>
        <v>46661</v>
      </c>
      <c r="BL149" s="8">
        <f t="shared" si="69"/>
        <v>46692</v>
      </c>
      <c r="BM149" s="8">
        <f t="shared" si="69"/>
        <v>46722</v>
      </c>
      <c r="BN149" s="8">
        <f t="shared" si="69"/>
        <v>46753</v>
      </c>
      <c r="BO149" s="8">
        <f t="shared" si="69"/>
        <v>46784</v>
      </c>
      <c r="BP149" s="8">
        <f t="shared" si="69"/>
        <v>46813</v>
      </c>
      <c r="BQ149" s="8">
        <f t="shared" si="69"/>
        <v>46844</v>
      </c>
    </row>
    <row r="150" spans="1:69" outlineLevel="1"/>
    <row r="151" spans="1:69" outlineLevel="1"/>
    <row r="152" spans="1:69" outlineLevel="1">
      <c r="B152" s="25" t="s">
        <v>105</v>
      </c>
    </row>
    <row r="153" spans="1:69" outlineLevel="2">
      <c r="A153" s="18"/>
      <c r="B153" s="18"/>
      <c r="C153" s="28"/>
      <c r="D153" s="27"/>
      <c r="E153" s="20" t="str">
        <f xml:space="preserve">  InpC!E$102</f>
        <v>Start date</v>
      </c>
      <c r="F153" s="20">
        <f xml:space="preserve">  InpC!F$102</f>
        <v>45047</v>
      </c>
      <c r="G153" s="20" t="str">
        <f xml:space="preserve">  InpC!G$102</f>
        <v>date</v>
      </c>
      <c r="M153" s="8"/>
    </row>
    <row r="154" spans="1:69" outlineLevel="2">
      <c r="E154" s="8" t="str">
        <f t="shared" ref="E154:BQ154" si="70" xml:space="preserve">  E$149</f>
        <v>Day in period Customer Order Growth escalation occurs</v>
      </c>
      <c r="F154" s="8">
        <f t="shared" si="70"/>
        <v>0</v>
      </c>
      <c r="G154" s="8" t="str">
        <f t="shared" si="70"/>
        <v>date</v>
      </c>
      <c r="H154" s="8">
        <f t="shared" si="70"/>
        <v>0</v>
      </c>
      <c r="I154" s="8">
        <f t="shared" si="70"/>
        <v>0</v>
      </c>
      <c r="J154" s="8">
        <f t="shared" si="70"/>
        <v>45047</v>
      </c>
      <c r="K154" s="8">
        <f t="shared" si="70"/>
        <v>45078</v>
      </c>
      <c r="L154" s="8">
        <f t="shared" si="70"/>
        <v>45108</v>
      </c>
      <c r="M154" s="8">
        <f t="shared" si="70"/>
        <v>45139</v>
      </c>
      <c r="N154" s="8">
        <f t="shared" si="70"/>
        <v>45170</v>
      </c>
      <c r="O154" s="8">
        <f t="shared" si="70"/>
        <v>45200</v>
      </c>
      <c r="P154" s="8">
        <f t="shared" si="70"/>
        <v>45231</v>
      </c>
      <c r="Q154" s="8">
        <f t="shared" si="70"/>
        <v>45261</v>
      </c>
      <c r="R154" s="8">
        <f t="shared" si="70"/>
        <v>45292</v>
      </c>
      <c r="S154" s="8">
        <f t="shared" si="70"/>
        <v>45323</v>
      </c>
      <c r="T154" s="8">
        <f t="shared" si="70"/>
        <v>45352</v>
      </c>
      <c r="U154" s="8">
        <f t="shared" si="70"/>
        <v>45383</v>
      </c>
      <c r="V154" s="8">
        <f t="shared" si="70"/>
        <v>45413</v>
      </c>
      <c r="W154" s="8">
        <f t="shared" si="70"/>
        <v>45444</v>
      </c>
      <c r="X154" s="8">
        <f t="shared" si="70"/>
        <v>45474</v>
      </c>
      <c r="Y154" s="8">
        <f t="shared" si="70"/>
        <v>45505</v>
      </c>
      <c r="Z154" s="8">
        <f t="shared" si="70"/>
        <v>45536</v>
      </c>
      <c r="AA154" s="8">
        <f t="shared" si="70"/>
        <v>45566</v>
      </c>
      <c r="AB154" s="8">
        <f t="shared" si="70"/>
        <v>45597</v>
      </c>
      <c r="AC154" s="8">
        <f t="shared" si="70"/>
        <v>45627</v>
      </c>
      <c r="AD154" s="8">
        <f t="shared" si="70"/>
        <v>45658</v>
      </c>
      <c r="AE154" s="8">
        <f t="shared" si="70"/>
        <v>45689</v>
      </c>
      <c r="AF154" s="8">
        <f t="shared" si="70"/>
        <v>45717</v>
      </c>
      <c r="AG154" s="8">
        <f t="shared" si="70"/>
        <v>45748</v>
      </c>
      <c r="AH154" s="8">
        <f t="shared" si="70"/>
        <v>45778</v>
      </c>
      <c r="AI154" s="8">
        <f t="shared" si="70"/>
        <v>45809</v>
      </c>
      <c r="AJ154" s="8">
        <f t="shared" si="70"/>
        <v>45839</v>
      </c>
      <c r="AK154" s="8">
        <f t="shared" si="70"/>
        <v>45870</v>
      </c>
      <c r="AL154" s="8">
        <f t="shared" si="70"/>
        <v>45901</v>
      </c>
      <c r="AM154" s="8">
        <f t="shared" si="70"/>
        <v>45931</v>
      </c>
      <c r="AN154" s="8">
        <f t="shared" si="70"/>
        <v>45962</v>
      </c>
      <c r="AO154" s="8">
        <f t="shared" si="70"/>
        <v>45992</v>
      </c>
      <c r="AP154" s="8">
        <f t="shared" si="70"/>
        <v>46023</v>
      </c>
      <c r="AQ154" s="8">
        <f t="shared" si="70"/>
        <v>46054</v>
      </c>
      <c r="AR154" s="8">
        <f t="shared" si="70"/>
        <v>46082</v>
      </c>
      <c r="AS154" s="8">
        <f t="shared" si="70"/>
        <v>46113</v>
      </c>
      <c r="AT154" s="8">
        <f t="shared" si="70"/>
        <v>46143</v>
      </c>
      <c r="AU154" s="8">
        <f t="shared" si="70"/>
        <v>46174</v>
      </c>
      <c r="AV154" s="8">
        <f t="shared" si="70"/>
        <v>46204</v>
      </c>
      <c r="AW154" s="8">
        <f t="shared" si="70"/>
        <v>46235</v>
      </c>
      <c r="AX154" s="8">
        <f t="shared" si="70"/>
        <v>46266</v>
      </c>
      <c r="AY154" s="8">
        <f t="shared" si="70"/>
        <v>46296</v>
      </c>
      <c r="AZ154" s="8">
        <f t="shared" si="70"/>
        <v>46327</v>
      </c>
      <c r="BA154" s="8">
        <f t="shared" si="70"/>
        <v>46357</v>
      </c>
      <c r="BB154" s="8">
        <f t="shared" si="70"/>
        <v>46388</v>
      </c>
      <c r="BC154" s="8">
        <f t="shared" si="70"/>
        <v>46419</v>
      </c>
      <c r="BD154" s="8">
        <f t="shared" si="70"/>
        <v>46447</v>
      </c>
      <c r="BE154" s="8">
        <f t="shared" si="70"/>
        <v>46478</v>
      </c>
      <c r="BF154" s="8">
        <f t="shared" si="70"/>
        <v>46508</v>
      </c>
      <c r="BG154" s="8">
        <f t="shared" si="70"/>
        <v>46539</v>
      </c>
      <c r="BH154" s="8">
        <f t="shared" si="70"/>
        <v>46569</v>
      </c>
      <c r="BI154" s="8">
        <f t="shared" si="70"/>
        <v>46600</v>
      </c>
      <c r="BJ154" s="8">
        <f t="shared" si="70"/>
        <v>46631</v>
      </c>
      <c r="BK154" s="8">
        <f t="shared" si="70"/>
        <v>46661</v>
      </c>
      <c r="BL154" s="8">
        <f t="shared" si="70"/>
        <v>46692</v>
      </c>
      <c r="BM154" s="8">
        <f t="shared" si="70"/>
        <v>46722</v>
      </c>
      <c r="BN154" s="8">
        <f t="shared" si="70"/>
        <v>46753</v>
      </c>
      <c r="BO154" s="8">
        <f t="shared" si="70"/>
        <v>46784</v>
      </c>
      <c r="BP154" s="8">
        <f t="shared" si="70"/>
        <v>46813</v>
      </c>
      <c r="BQ154" s="8">
        <f t="shared" si="70"/>
        <v>46844</v>
      </c>
    </row>
    <row r="155" spans="1:69" outlineLevel="2">
      <c r="E155" s="2" t="str">
        <f t="shared" ref="E155:BQ155" si="71" xml:space="preserve">  E$142</f>
        <v>Customer Order Growth escalation step up frequency flag</v>
      </c>
      <c r="F155" s="2">
        <f t="shared" si="71"/>
        <v>0</v>
      </c>
      <c r="G155" s="2" t="str">
        <f t="shared" si="71"/>
        <v>flag</v>
      </c>
      <c r="H155" s="2">
        <f t="shared" si="71"/>
        <v>60</v>
      </c>
      <c r="I155" s="2">
        <f t="shared" si="71"/>
        <v>0</v>
      </c>
      <c r="J155" s="2">
        <f t="shared" si="71"/>
        <v>1</v>
      </c>
      <c r="K155" s="2">
        <f t="shared" si="71"/>
        <v>1</v>
      </c>
      <c r="L155" s="2">
        <f t="shared" si="71"/>
        <v>1</v>
      </c>
      <c r="M155" s="2">
        <f t="shared" si="71"/>
        <v>1</v>
      </c>
      <c r="N155" s="2">
        <f t="shared" si="71"/>
        <v>1</v>
      </c>
      <c r="O155" s="2">
        <f t="shared" si="71"/>
        <v>1</v>
      </c>
      <c r="P155" s="2">
        <f t="shared" si="71"/>
        <v>1</v>
      </c>
      <c r="Q155" s="2">
        <f t="shared" si="71"/>
        <v>1</v>
      </c>
      <c r="R155" s="2">
        <f t="shared" si="71"/>
        <v>1</v>
      </c>
      <c r="S155" s="2">
        <f t="shared" si="71"/>
        <v>1</v>
      </c>
      <c r="T155" s="2">
        <f t="shared" si="71"/>
        <v>1</v>
      </c>
      <c r="U155" s="2">
        <f t="shared" si="71"/>
        <v>1</v>
      </c>
      <c r="V155" s="2">
        <f t="shared" si="71"/>
        <v>1</v>
      </c>
      <c r="W155" s="2">
        <f t="shared" si="71"/>
        <v>1</v>
      </c>
      <c r="X155" s="2">
        <f t="shared" si="71"/>
        <v>1</v>
      </c>
      <c r="Y155" s="2">
        <f t="shared" si="71"/>
        <v>1</v>
      </c>
      <c r="Z155" s="2">
        <f t="shared" si="71"/>
        <v>1</v>
      </c>
      <c r="AA155" s="2">
        <f t="shared" si="71"/>
        <v>1</v>
      </c>
      <c r="AB155" s="2">
        <f t="shared" si="71"/>
        <v>1</v>
      </c>
      <c r="AC155" s="2">
        <f t="shared" si="71"/>
        <v>1</v>
      </c>
      <c r="AD155" s="2">
        <f t="shared" si="71"/>
        <v>1</v>
      </c>
      <c r="AE155" s="2">
        <f t="shared" si="71"/>
        <v>1</v>
      </c>
      <c r="AF155" s="2">
        <f t="shared" si="71"/>
        <v>1</v>
      </c>
      <c r="AG155" s="2">
        <f t="shared" si="71"/>
        <v>1</v>
      </c>
      <c r="AH155" s="2">
        <f t="shared" si="71"/>
        <v>1</v>
      </c>
      <c r="AI155" s="2">
        <f t="shared" si="71"/>
        <v>1</v>
      </c>
      <c r="AJ155" s="2">
        <f t="shared" si="71"/>
        <v>1</v>
      </c>
      <c r="AK155" s="2">
        <f t="shared" si="71"/>
        <v>1</v>
      </c>
      <c r="AL155" s="2">
        <f t="shared" si="71"/>
        <v>1</v>
      </c>
      <c r="AM155" s="2">
        <f t="shared" si="71"/>
        <v>1</v>
      </c>
      <c r="AN155" s="2">
        <f t="shared" si="71"/>
        <v>1</v>
      </c>
      <c r="AO155" s="2">
        <f t="shared" si="71"/>
        <v>1</v>
      </c>
      <c r="AP155" s="2">
        <f t="shared" si="71"/>
        <v>1</v>
      </c>
      <c r="AQ155" s="2">
        <f t="shared" si="71"/>
        <v>1</v>
      </c>
      <c r="AR155" s="2">
        <f t="shared" si="71"/>
        <v>1</v>
      </c>
      <c r="AS155" s="2">
        <f t="shared" si="71"/>
        <v>1</v>
      </c>
      <c r="AT155" s="2">
        <f t="shared" si="71"/>
        <v>1</v>
      </c>
      <c r="AU155" s="2">
        <f t="shared" si="71"/>
        <v>1</v>
      </c>
      <c r="AV155" s="2">
        <f t="shared" si="71"/>
        <v>1</v>
      </c>
      <c r="AW155" s="2">
        <f t="shared" si="71"/>
        <v>1</v>
      </c>
      <c r="AX155" s="2">
        <f t="shared" si="71"/>
        <v>1</v>
      </c>
      <c r="AY155" s="2">
        <f t="shared" si="71"/>
        <v>1</v>
      </c>
      <c r="AZ155" s="2">
        <f t="shared" si="71"/>
        <v>1</v>
      </c>
      <c r="BA155" s="2">
        <f t="shared" si="71"/>
        <v>1</v>
      </c>
      <c r="BB155" s="2">
        <f t="shared" si="71"/>
        <v>1</v>
      </c>
      <c r="BC155" s="2">
        <f t="shared" si="71"/>
        <v>1</v>
      </c>
      <c r="BD155" s="2">
        <f t="shared" si="71"/>
        <v>1</v>
      </c>
      <c r="BE155" s="2">
        <f t="shared" si="71"/>
        <v>1</v>
      </c>
      <c r="BF155" s="2">
        <f t="shared" si="71"/>
        <v>1</v>
      </c>
      <c r="BG155" s="2">
        <f t="shared" si="71"/>
        <v>1</v>
      </c>
      <c r="BH155" s="2">
        <f t="shared" si="71"/>
        <v>1</v>
      </c>
      <c r="BI155" s="2">
        <f t="shared" si="71"/>
        <v>1</v>
      </c>
      <c r="BJ155" s="2">
        <f t="shared" si="71"/>
        <v>1</v>
      </c>
      <c r="BK155" s="2">
        <f t="shared" si="71"/>
        <v>1</v>
      </c>
      <c r="BL155" s="2">
        <f t="shared" si="71"/>
        <v>1</v>
      </c>
      <c r="BM155" s="2">
        <f t="shared" si="71"/>
        <v>1</v>
      </c>
      <c r="BN155" s="2">
        <f t="shared" si="71"/>
        <v>1</v>
      </c>
      <c r="BO155" s="2">
        <f t="shared" si="71"/>
        <v>1</v>
      </c>
      <c r="BP155" s="2">
        <f t="shared" si="71"/>
        <v>1</v>
      </c>
      <c r="BQ155" s="2">
        <f t="shared" si="71"/>
        <v>1</v>
      </c>
    </row>
    <row r="156" spans="1:69" outlineLevel="2">
      <c r="E156" s="47" t="s">
        <v>105</v>
      </c>
      <c r="H156" s="2">
        <f xml:space="preserve"> SUM( J156:BQ156 )</f>
        <v>147.67225785730801</v>
      </c>
      <c r="J156" s="2">
        <f t="shared" ref="J156:BQ156" si="72" xml:space="preserve">  YEARFRAC( $F153, J154, 1 ) * J155</f>
        <v>0</v>
      </c>
      <c r="K156" s="2">
        <f t="shared" si="72"/>
        <v>8.4931506849315067E-2</v>
      </c>
      <c r="L156" s="2">
        <f t="shared" si="72"/>
        <v>0.16712328767123288</v>
      </c>
      <c r="M156" s="2">
        <f t="shared" si="72"/>
        <v>0.25205479452054796</v>
      </c>
      <c r="N156" s="2">
        <f t="shared" si="72"/>
        <v>0.33698630136986302</v>
      </c>
      <c r="O156" s="2">
        <f t="shared" si="72"/>
        <v>0.41917808219178082</v>
      </c>
      <c r="P156" s="2">
        <f t="shared" si="72"/>
        <v>0.50410958904109593</v>
      </c>
      <c r="Q156" s="2">
        <f t="shared" si="72"/>
        <v>0.58630136986301373</v>
      </c>
      <c r="R156" s="2">
        <f t="shared" si="72"/>
        <v>0.67123287671232879</v>
      </c>
      <c r="S156" s="2">
        <f t="shared" si="72"/>
        <v>0.75616438356164384</v>
      </c>
      <c r="T156" s="2">
        <f t="shared" si="72"/>
        <v>0.83333333333333337</v>
      </c>
      <c r="U156" s="2">
        <f t="shared" si="72"/>
        <v>0.91803278688524592</v>
      </c>
      <c r="V156" s="2">
        <f t="shared" si="72"/>
        <v>1</v>
      </c>
      <c r="W156" s="2">
        <f t="shared" si="72"/>
        <v>1.0861833105335157</v>
      </c>
      <c r="X156" s="2">
        <f t="shared" si="72"/>
        <v>1.1682626538987688</v>
      </c>
      <c r="Y156" s="2">
        <f t="shared" si="72"/>
        <v>1.2530779753761969</v>
      </c>
      <c r="Z156" s="2">
        <f t="shared" si="72"/>
        <v>1.3378932968536252</v>
      </c>
      <c r="AA156" s="2">
        <f t="shared" si="72"/>
        <v>1.4199726402188781</v>
      </c>
      <c r="AB156" s="2">
        <f t="shared" si="72"/>
        <v>1.5047879616963065</v>
      </c>
      <c r="AC156" s="2">
        <f t="shared" si="72"/>
        <v>1.5868673050615596</v>
      </c>
      <c r="AD156" s="2">
        <f t="shared" si="72"/>
        <v>1.6724452554744527</v>
      </c>
      <c r="AE156" s="2">
        <f t="shared" si="72"/>
        <v>1.7572992700729928</v>
      </c>
      <c r="AF156" s="2">
        <f t="shared" si="72"/>
        <v>1.8339416058394162</v>
      </c>
      <c r="AG156" s="2">
        <f t="shared" si="72"/>
        <v>1.9187956204379564</v>
      </c>
      <c r="AH156" s="2">
        <f t="shared" si="72"/>
        <v>2.0009124087591244</v>
      </c>
      <c r="AI156" s="2">
        <f t="shared" si="72"/>
        <v>2.0857664233576645</v>
      </c>
      <c r="AJ156" s="2">
        <f t="shared" si="72"/>
        <v>2.167883211678832</v>
      </c>
      <c r="AK156" s="2">
        <f t="shared" si="72"/>
        <v>2.2527372262773722</v>
      </c>
      <c r="AL156" s="2">
        <f t="shared" si="72"/>
        <v>2.3375912408759127</v>
      </c>
      <c r="AM156" s="2">
        <f t="shared" si="72"/>
        <v>2.4197080291970803</v>
      </c>
      <c r="AN156" s="2">
        <f t="shared" si="72"/>
        <v>2.5045620437956204</v>
      </c>
      <c r="AO156" s="2">
        <f t="shared" si="72"/>
        <v>2.5866788321167884</v>
      </c>
      <c r="AP156" s="2">
        <f t="shared" si="72"/>
        <v>2.6721423682409307</v>
      </c>
      <c r="AQ156" s="2">
        <f t="shared" si="72"/>
        <v>2.7570157426420261</v>
      </c>
      <c r="AR156" s="2">
        <f t="shared" si="72"/>
        <v>2.8336755646817249</v>
      </c>
      <c r="AS156" s="2">
        <f t="shared" si="72"/>
        <v>2.9185489390828199</v>
      </c>
      <c r="AT156" s="2">
        <f t="shared" si="72"/>
        <v>3.0006844626967832</v>
      </c>
      <c r="AU156" s="2">
        <f t="shared" si="72"/>
        <v>3.0855578370978782</v>
      </c>
      <c r="AV156" s="2">
        <f t="shared" si="72"/>
        <v>3.1676933607118412</v>
      </c>
      <c r="AW156" s="2">
        <f t="shared" si="72"/>
        <v>3.2525667351129361</v>
      </c>
      <c r="AX156" s="2">
        <f t="shared" si="72"/>
        <v>3.3374401095140316</v>
      </c>
      <c r="AY156" s="2">
        <f t="shared" si="72"/>
        <v>3.4195756331279945</v>
      </c>
      <c r="AZ156" s="2">
        <f t="shared" si="72"/>
        <v>3.5044490075290895</v>
      </c>
      <c r="BA156" s="2">
        <f t="shared" si="72"/>
        <v>3.5865845311430529</v>
      </c>
      <c r="BB156" s="2">
        <f t="shared" si="72"/>
        <v>3.6719605695509312</v>
      </c>
      <c r="BC156" s="2">
        <f t="shared" si="72"/>
        <v>3.7568455640744798</v>
      </c>
      <c r="BD156" s="2">
        <f t="shared" si="72"/>
        <v>3.833515881708653</v>
      </c>
      <c r="BE156" s="2">
        <f t="shared" si="72"/>
        <v>3.9184008762322016</v>
      </c>
      <c r="BF156" s="2">
        <f t="shared" si="72"/>
        <v>4.0005476451259581</v>
      </c>
      <c r="BG156" s="2">
        <f t="shared" si="72"/>
        <v>4.0854326396495075</v>
      </c>
      <c r="BH156" s="2">
        <f t="shared" si="72"/>
        <v>4.167579408543264</v>
      </c>
      <c r="BI156" s="2">
        <f t="shared" si="72"/>
        <v>4.2524644030668126</v>
      </c>
      <c r="BJ156" s="2">
        <f t="shared" si="72"/>
        <v>4.3373493975903612</v>
      </c>
      <c r="BK156" s="2">
        <f t="shared" si="72"/>
        <v>4.4194961664841186</v>
      </c>
      <c r="BL156" s="2">
        <f t="shared" si="72"/>
        <v>4.5043811610076672</v>
      </c>
      <c r="BM156" s="2">
        <f t="shared" si="72"/>
        <v>4.5865279299014237</v>
      </c>
      <c r="BN156" s="2">
        <f t="shared" si="72"/>
        <v>4.6697080291970803</v>
      </c>
      <c r="BO156" s="2">
        <f t="shared" si="72"/>
        <v>4.7545620437956204</v>
      </c>
      <c r="BP156" s="2">
        <f t="shared" si="72"/>
        <v>4.8339416058394162</v>
      </c>
      <c r="BQ156" s="2">
        <f t="shared" si="72"/>
        <v>4.9187956204379564</v>
      </c>
    </row>
    <row r="157" spans="1:69" outlineLevel="1"/>
    <row r="158" spans="1:69" outlineLevel="1"/>
    <row r="159" spans="1:69" outlineLevel="1">
      <c r="B159" s="25" t="s">
        <v>171</v>
      </c>
    </row>
    <row r="160" spans="1:69" outlineLevel="2">
      <c r="A160" s="18"/>
      <c r="B160" s="18"/>
      <c r="C160" s="28"/>
      <c r="D160" s="27"/>
      <c r="E160" s="43" t="str">
        <f xml:space="preserve">  InpC!E$17</f>
        <v>Customer Order Growth annual start escalation rate</v>
      </c>
      <c r="F160" s="43">
        <f xml:space="preserve">  InpC!F$17</f>
        <v>1</v>
      </c>
      <c r="G160" s="43" t="str">
        <f xml:space="preserve">  InpC!G$17</f>
        <v>%</v>
      </c>
      <c r="M160" s="57"/>
    </row>
    <row r="161" spans="1:69" outlineLevel="2">
      <c r="E161" s="2" t="str">
        <f t="shared" ref="E161:BQ161" si="73" xml:space="preserve">  E$156</f>
        <v>years since Customer Order Growth base date</v>
      </c>
      <c r="F161" s="2">
        <f t="shared" si="73"/>
        <v>0</v>
      </c>
      <c r="G161" s="2">
        <f t="shared" si="73"/>
        <v>0</v>
      </c>
      <c r="H161" s="2">
        <f t="shared" si="73"/>
        <v>147.67225785730801</v>
      </c>
      <c r="I161" s="2">
        <f t="shared" si="73"/>
        <v>0</v>
      </c>
      <c r="J161" s="2">
        <f t="shared" si="73"/>
        <v>0</v>
      </c>
      <c r="K161" s="2">
        <f t="shared" si="73"/>
        <v>8.4931506849315067E-2</v>
      </c>
      <c r="L161" s="2">
        <f t="shared" si="73"/>
        <v>0.16712328767123288</v>
      </c>
      <c r="M161" s="2">
        <f t="shared" si="73"/>
        <v>0.25205479452054796</v>
      </c>
      <c r="N161" s="2">
        <f t="shared" si="73"/>
        <v>0.33698630136986302</v>
      </c>
      <c r="O161" s="2">
        <f t="shared" si="73"/>
        <v>0.41917808219178082</v>
      </c>
      <c r="P161" s="2">
        <f t="shared" si="73"/>
        <v>0.50410958904109593</v>
      </c>
      <c r="Q161" s="2">
        <f t="shared" si="73"/>
        <v>0.58630136986301373</v>
      </c>
      <c r="R161" s="2">
        <f t="shared" si="73"/>
        <v>0.67123287671232879</v>
      </c>
      <c r="S161" s="2">
        <f t="shared" si="73"/>
        <v>0.75616438356164384</v>
      </c>
      <c r="T161" s="2">
        <f t="shared" si="73"/>
        <v>0.83333333333333337</v>
      </c>
      <c r="U161" s="2">
        <f t="shared" si="73"/>
        <v>0.91803278688524592</v>
      </c>
      <c r="V161" s="2">
        <f t="shared" si="73"/>
        <v>1</v>
      </c>
      <c r="W161" s="2">
        <f t="shared" si="73"/>
        <v>1.0861833105335157</v>
      </c>
      <c r="X161" s="2">
        <f t="shared" si="73"/>
        <v>1.1682626538987688</v>
      </c>
      <c r="Y161" s="2">
        <f t="shared" si="73"/>
        <v>1.2530779753761969</v>
      </c>
      <c r="Z161" s="2">
        <f t="shared" si="73"/>
        <v>1.3378932968536252</v>
      </c>
      <c r="AA161" s="2">
        <f t="shared" si="73"/>
        <v>1.4199726402188781</v>
      </c>
      <c r="AB161" s="2">
        <f t="shared" si="73"/>
        <v>1.5047879616963065</v>
      </c>
      <c r="AC161" s="2">
        <f t="shared" si="73"/>
        <v>1.5868673050615596</v>
      </c>
      <c r="AD161" s="2">
        <f t="shared" si="73"/>
        <v>1.6724452554744527</v>
      </c>
      <c r="AE161" s="2">
        <f t="shared" si="73"/>
        <v>1.7572992700729928</v>
      </c>
      <c r="AF161" s="2">
        <f t="shared" si="73"/>
        <v>1.8339416058394162</v>
      </c>
      <c r="AG161" s="2">
        <f t="shared" si="73"/>
        <v>1.9187956204379564</v>
      </c>
      <c r="AH161" s="2">
        <f t="shared" si="73"/>
        <v>2.0009124087591244</v>
      </c>
      <c r="AI161" s="2">
        <f t="shared" si="73"/>
        <v>2.0857664233576645</v>
      </c>
      <c r="AJ161" s="2">
        <f t="shared" si="73"/>
        <v>2.167883211678832</v>
      </c>
      <c r="AK161" s="2">
        <f t="shared" si="73"/>
        <v>2.2527372262773722</v>
      </c>
      <c r="AL161" s="2">
        <f t="shared" si="73"/>
        <v>2.3375912408759127</v>
      </c>
      <c r="AM161" s="2">
        <f t="shared" si="73"/>
        <v>2.4197080291970803</v>
      </c>
      <c r="AN161" s="2">
        <f t="shared" si="73"/>
        <v>2.5045620437956204</v>
      </c>
      <c r="AO161" s="2">
        <f t="shared" si="73"/>
        <v>2.5866788321167884</v>
      </c>
      <c r="AP161" s="2">
        <f t="shared" si="73"/>
        <v>2.6721423682409307</v>
      </c>
      <c r="AQ161" s="2">
        <f t="shared" si="73"/>
        <v>2.7570157426420261</v>
      </c>
      <c r="AR161" s="2">
        <f t="shared" si="73"/>
        <v>2.8336755646817249</v>
      </c>
      <c r="AS161" s="2">
        <f t="shared" si="73"/>
        <v>2.9185489390828199</v>
      </c>
      <c r="AT161" s="2">
        <f t="shared" si="73"/>
        <v>3.0006844626967832</v>
      </c>
      <c r="AU161" s="2">
        <f t="shared" si="73"/>
        <v>3.0855578370978782</v>
      </c>
      <c r="AV161" s="2">
        <f t="shared" si="73"/>
        <v>3.1676933607118412</v>
      </c>
      <c r="AW161" s="2">
        <f t="shared" si="73"/>
        <v>3.2525667351129361</v>
      </c>
      <c r="AX161" s="2">
        <f t="shared" si="73"/>
        <v>3.3374401095140316</v>
      </c>
      <c r="AY161" s="2">
        <f t="shared" si="73"/>
        <v>3.4195756331279945</v>
      </c>
      <c r="AZ161" s="2">
        <f t="shared" si="73"/>
        <v>3.5044490075290895</v>
      </c>
      <c r="BA161" s="2">
        <f t="shared" si="73"/>
        <v>3.5865845311430529</v>
      </c>
      <c r="BB161" s="2">
        <f t="shared" si="73"/>
        <v>3.6719605695509312</v>
      </c>
      <c r="BC161" s="2">
        <f t="shared" si="73"/>
        <v>3.7568455640744798</v>
      </c>
      <c r="BD161" s="2">
        <f t="shared" si="73"/>
        <v>3.833515881708653</v>
      </c>
      <c r="BE161" s="2">
        <f t="shared" si="73"/>
        <v>3.9184008762322016</v>
      </c>
      <c r="BF161" s="2">
        <f t="shared" si="73"/>
        <v>4.0005476451259581</v>
      </c>
      <c r="BG161" s="2">
        <f t="shared" si="73"/>
        <v>4.0854326396495075</v>
      </c>
      <c r="BH161" s="2">
        <f t="shared" si="73"/>
        <v>4.167579408543264</v>
      </c>
      <c r="BI161" s="2">
        <f t="shared" si="73"/>
        <v>4.2524644030668126</v>
      </c>
      <c r="BJ161" s="2">
        <f t="shared" si="73"/>
        <v>4.3373493975903612</v>
      </c>
      <c r="BK161" s="2">
        <f t="shared" si="73"/>
        <v>4.4194961664841186</v>
      </c>
      <c r="BL161" s="2">
        <f t="shared" si="73"/>
        <v>4.5043811610076672</v>
      </c>
      <c r="BM161" s="2">
        <f t="shared" si="73"/>
        <v>4.5865279299014237</v>
      </c>
      <c r="BN161" s="2">
        <f t="shared" si="73"/>
        <v>4.6697080291970803</v>
      </c>
      <c r="BO161" s="2">
        <f t="shared" si="73"/>
        <v>4.7545620437956204</v>
      </c>
      <c r="BP161" s="2">
        <f t="shared" si="73"/>
        <v>4.8339416058394162</v>
      </c>
      <c r="BQ161" s="2">
        <f t="shared" si="73"/>
        <v>4.9187956204379564</v>
      </c>
    </row>
    <row r="162" spans="1:69" outlineLevel="2">
      <c r="E162" s="2" t="str">
        <f t="shared" ref="E162:BQ162" si="74" xml:space="preserve">  E$115</f>
        <v>Customer Order Growth escalation duration flag</v>
      </c>
      <c r="F162" s="2">
        <f t="shared" si="74"/>
        <v>0</v>
      </c>
      <c r="G162" s="2" t="str">
        <f t="shared" si="74"/>
        <v>flag</v>
      </c>
      <c r="H162" s="2">
        <f t="shared" si="74"/>
        <v>60</v>
      </c>
      <c r="I162" s="2">
        <f t="shared" si="74"/>
        <v>0</v>
      </c>
      <c r="J162" s="2">
        <f t="shared" si="74"/>
        <v>1</v>
      </c>
      <c r="K162" s="2">
        <f t="shared" si="74"/>
        <v>1</v>
      </c>
      <c r="L162" s="2">
        <f t="shared" si="74"/>
        <v>1</v>
      </c>
      <c r="M162" s="2">
        <f t="shared" si="74"/>
        <v>1</v>
      </c>
      <c r="N162" s="2">
        <f t="shared" si="74"/>
        <v>1</v>
      </c>
      <c r="O162" s="2">
        <f t="shared" si="74"/>
        <v>1</v>
      </c>
      <c r="P162" s="2">
        <f t="shared" si="74"/>
        <v>1</v>
      </c>
      <c r="Q162" s="2">
        <f t="shared" si="74"/>
        <v>1</v>
      </c>
      <c r="R162" s="2">
        <f t="shared" si="74"/>
        <v>1</v>
      </c>
      <c r="S162" s="2">
        <f t="shared" si="74"/>
        <v>1</v>
      </c>
      <c r="T162" s="2">
        <f t="shared" si="74"/>
        <v>1</v>
      </c>
      <c r="U162" s="2">
        <f t="shared" si="74"/>
        <v>1</v>
      </c>
      <c r="V162" s="2">
        <f t="shared" si="74"/>
        <v>1</v>
      </c>
      <c r="W162" s="2">
        <f t="shared" si="74"/>
        <v>1</v>
      </c>
      <c r="X162" s="2">
        <f t="shared" si="74"/>
        <v>1</v>
      </c>
      <c r="Y162" s="2">
        <f t="shared" si="74"/>
        <v>1</v>
      </c>
      <c r="Z162" s="2">
        <f t="shared" si="74"/>
        <v>1</v>
      </c>
      <c r="AA162" s="2">
        <f t="shared" si="74"/>
        <v>1</v>
      </c>
      <c r="AB162" s="2">
        <f t="shared" si="74"/>
        <v>1</v>
      </c>
      <c r="AC162" s="2">
        <f t="shared" si="74"/>
        <v>1</v>
      </c>
      <c r="AD162" s="2">
        <f t="shared" si="74"/>
        <v>1</v>
      </c>
      <c r="AE162" s="2">
        <f t="shared" si="74"/>
        <v>1</v>
      </c>
      <c r="AF162" s="2">
        <f t="shared" si="74"/>
        <v>1</v>
      </c>
      <c r="AG162" s="2">
        <f t="shared" si="74"/>
        <v>1</v>
      </c>
      <c r="AH162" s="2">
        <f t="shared" si="74"/>
        <v>1</v>
      </c>
      <c r="AI162" s="2">
        <f t="shared" si="74"/>
        <v>1</v>
      </c>
      <c r="AJ162" s="2">
        <f t="shared" si="74"/>
        <v>1</v>
      </c>
      <c r="AK162" s="2">
        <f t="shared" si="74"/>
        <v>1</v>
      </c>
      <c r="AL162" s="2">
        <f t="shared" si="74"/>
        <v>1</v>
      </c>
      <c r="AM162" s="2">
        <f t="shared" si="74"/>
        <v>1</v>
      </c>
      <c r="AN162" s="2">
        <f t="shared" si="74"/>
        <v>1</v>
      </c>
      <c r="AO162" s="2">
        <f t="shared" si="74"/>
        <v>1</v>
      </c>
      <c r="AP162" s="2">
        <f t="shared" si="74"/>
        <v>1</v>
      </c>
      <c r="AQ162" s="2">
        <f t="shared" si="74"/>
        <v>1</v>
      </c>
      <c r="AR162" s="2">
        <f t="shared" si="74"/>
        <v>1</v>
      </c>
      <c r="AS162" s="2">
        <f t="shared" si="74"/>
        <v>1</v>
      </c>
      <c r="AT162" s="2">
        <f t="shared" si="74"/>
        <v>1</v>
      </c>
      <c r="AU162" s="2">
        <f t="shared" si="74"/>
        <v>1</v>
      </c>
      <c r="AV162" s="2">
        <f t="shared" si="74"/>
        <v>1</v>
      </c>
      <c r="AW162" s="2">
        <f t="shared" si="74"/>
        <v>1</v>
      </c>
      <c r="AX162" s="2">
        <f t="shared" si="74"/>
        <v>1</v>
      </c>
      <c r="AY162" s="2">
        <f t="shared" si="74"/>
        <v>1</v>
      </c>
      <c r="AZ162" s="2">
        <f t="shared" si="74"/>
        <v>1</v>
      </c>
      <c r="BA162" s="2">
        <f t="shared" si="74"/>
        <v>1</v>
      </c>
      <c r="BB162" s="2">
        <f t="shared" si="74"/>
        <v>1</v>
      </c>
      <c r="BC162" s="2">
        <f t="shared" si="74"/>
        <v>1</v>
      </c>
      <c r="BD162" s="2">
        <f t="shared" si="74"/>
        <v>1</v>
      </c>
      <c r="BE162" s="2">
        <f t="shared" si="74"/>
        <v>1</v>
      </c>
      <c r="BF162" s="2">
        <f t="shared" si="74"/>
        <v>1</v>
      </c>
      <c r="BG162" s="2">
        <f t="shared" si="74"/>
        <v>1</v>
      </c>
      <c r="BH162" s="2">
        <f t="shared" si="74"/>
        <v>1</v>
      </c>
      <c r="BI162" s="2">
        <f t="shared" si="74"/>
        <v>1</v>
      </c>
      <c r="BJ162" s="2">
        <f t="shared" si="74"/>
        <v>1</v>
      </c>
      <c r="BK162" s="2">
        <f t="shared" si="74"/>
        <v>1</v>
      </c>
      <c r="BL162" s="2">
        <f t="shared" si="74"/>
        <v>1</v>
      </c>
      <c r="BM162" s="2">
        <f t="shared" si="74"/>
        <v>1</v>
      </c>
      <c r="BN162" s="2">
        <f t="shared" si="74"/>
        <v>1</v>
      </c>
      <c r="BO162" s="2">
        <f t="shared" si="74"/>
        <v>1</v>
      </c>
      <c r="BP162" s="2">
        <f t="shared" si="74"/>
        <v>1</v>
      </c>
      <c r="BQ162" s="2">
        <f t="shared" si="74"/>
        <v>1</v>
      </c>
    </row>
    <row r="163" spans="1:69" outlineLevel="2">
      <c r="E163" s="2" t="str">
        <f t="shared" ref="E163:BQ163" si="75" xml:space="preserve">  E$142</f>
        <v>Customer Order Growth escalation step up frequency flag</v>
      </c>
      <c r="F163" s="2">
        <f t="shared" si="75"/>
        <v>0</v>
      </c>
      <c r="G163" s="2" t="str">
        <f t="shared" si="75"/>
        <v>flag</v>
      </c>
      <c r="H163" s="2">
        <f t="shared" si="75"/>
        <v>60</v>
      </c>
      <c r="I163" s="2">
        <f t="shared" si="75"/>
        <v>0</v>
      </c>
      <c r="J163" s="2">
        <f t="shared" si="75"/>
        <v>1</v>
      </c>
      <c r="K163" s="2">
        <f t="shared" si="75"/>
        <v>1</v>
      </c>
      <c r="L163" s="2">
        <f t="shared" si="75"/>
        <v>1</v>
      </c>
      <c r="M163" s="2">
        <f t="shared" si="75"/>
        <v>1</v>
      </c>
      <c r="N163" s="2">
        <f t="shared" si="75"/>
        <v>1</v>
      </c>
      <c r="O163" s="2">
        <f t="shared" si="75"/>
        <v>1</v>
      </c>
      <c r="P163" s="2">
        <f t="shared" si="75"/>
        <v>1</v>
      </c>
      <c r="Q163" s="2">
        <f t="shared" si="75"/>
        <v>1</v>
      </c>
      <c r="R163" s="2">
        <f t="shared" si="75"/>
        <v>1</v>
      </c>
      <c r="S163" s="2">
        <f t="shared" si="75"/>
        <v>1</v>
      </c>
      <c r="T163" s="2">
        <f t="shared" si="75"/>
        <v>1</v>
      </c>
      <c r="U163" s="2">
        <f t="shared" si="75"/>
        <v>1</v>
      </c>
      <c r="V163" s="2">
        <f t="shared" si="75"/>
        <v>1</v>
      </c>
      <c r="W163" s="2">
        <f t="shared" si="75"/>
        <v>1</v>
      </c>
      <c r="X163" s="2">
        <f t="shared" si="75"/>
        <v>1</v>
      </c>
      <c r="Y163" s="2">
        <f t="shared" si="75"/>
        <v>1</v>
      </c>
      <c r="Z163" s="2">
        <f t="shared" si="75"/>
        <v>1</v>
      </c>
      <c r="AA163" s="2">
        <f t="shared" si="75"/>
        <v>1</v>
      </c>
      <c r="AB163" s="2">
        <f t="shared" si="75"/>
        <v>1</v>
      </c>
      <c r="AC163" s="2">
        <f t="shared" si="75"/>
        <v>1</v>
      </c>
      <c r="AD163" s="2">
        <f t="shared" si="75"/>
        <v>1</v>
      </c>
      <c r="AE163" s="2">
        <f t="shared" si="75"/>
        <v>1</v>
      </c>
      <c r="AF163" s="2">
        <f t="shared" si="75"/>
        <v>1</v>
      </c>
      <c r="AG163" s="2">
        <f t="shared" si="75"/>
        <v>1</v>
      </c>
      <c r="AH163" s="2">
        <f t="shared" si="75"/>
        <v>1</v>
      </c>
      <c r="AI163" s="2">
        <f t="shared" si="75"/>
        <v>1</v>
      </c>
      <c r="AJ163" s="2">
        <f t="shared" si="75"/>
        <v>1</v>
      </c>
      <c r="AK163" s="2">
        <f t="shared" si="75"/>
        <v>1</v>
      </c>
      <c r="AL163" s="2">
        <f t="shared" si="75"/>
        <v>1</v>
      </c>
      <c r="AM163" s="2">
        <f t="shared" si="75"/>
        <v>1</v>
      </c>
      <c r="AN163" s="2">
        <f t="shared" si="75"/>
        <v>1</v>
      </c>
      <c r="AO163" s="2">
        <f t="shared" si="75"/>
        <v>1</v>
      </c>
      <c r="AP163" s="2">
        <f t="shared" si="75"/>
        <v>1</v>
      </c>
      <c r="AQ163" s="2">
        <f t="shared" si="75"/>
        <v>1</v>
      </c>
      <c r="AR163" s="2">
        <f t="shared" si="75"/>
        <v>1</v>
      </c>
      <c r="AS163" s="2">
        <f t="shared" si="75"/>
        <v>1</v>
      </c>
      <c r="AT163" s="2">
        <f t="shared" si="75"/>
        <v>1</v>
      </c>
      <c r="AU163" s="2">
        <f t="shared" si="75"/>
        <v>1</v>
      </c>
      <c r="AV163" s="2">
        <f t="shared" si="75"/>
        <v>1</v>
      </c>
      <c r="AW163" s="2">
        <f t="shared" si="75"/>
        <v>1</v>
      </c>
      <c r="AX163" s="2">
        <f t="shared" si="75"/>
        <v>1</v>
      </c>
      <c r="AY163" s="2">
        <f t="shared" si="75"/>
        <v>1</v>
      </c>
      <c r="AZ163" s="2">
        <f t="shared" si="75"/>
        <v>1</v>
      </c>
      <c r="BA163" s="2">
        <f t="shared" si="75"/>
        <v>1</v>
      </c>
      <c r="BB163" s="2">
        <f t="shared" si="75"/>
        <v>1</v>
      </c>
      <c r="BC163" s="2">
        <f t="shared" si="75"/>
        <v>1</v>
      </c>
      <c r="BD163" s="2">
        <f t="shared" si="75"/>
        <v>1</v>
      </c>
      <c r="BE163" s="2">
        <f t="shared" si="75"/>
        <v>1</v>
      </c>
      <c r="BF163" s="2">
        <f t="shared" si="75"/>
        <v>1</v>
      </c>
      <c r="BG163" s="2">
        <f t="shared" si="75"/>
        <v>1</v>
      </c>
      <c r="BH163" s="2">
        <f t="shared" si="75"/>
        <v>1</v>
      </c>
      <c r="BI163" s="2">
        <f t="shared" si="75"/>
        <v>1</v>
      </c>
      <c r="BJ163" s="2">
        <f t="shared" si="75"/>
        <v>1</v>
      </c>
      <c r="BK163" s="2">
        <f t="shared" si="75"/>
        <v>1</v>
      </c>
      <c r="BL163" s="2">
        <f t="shared" si="75"/>
        <v>1</v>
      </c>
      <c r="BM163" s="2">
        <f t="shared" si="75"/>
        <v>1</v>
      </c>
      <c r="BN163" s="2">
        <f t="shared" si="75"/>
        <v>1</v>
      </c>
      <c r="BO163" s="2">
        <f t="shared" si="75"/>
        <v>1</v>
      </c>
      <c r="BP163" s="2">
        <f t="shared" si="75"/>
        <v>1</v>
      </c>
      <c r="BQ163" s="2">
        <f t="shared" si="75"/>
        <v>1</v>
      </c>
    </row>
    <row r="164" spans="1:69" outlineLevel="2">
      <c r="E164" s="47" t="s">
        <v>171</v>
      </c>
      <c r="G164" s="47" t="s">
        <v>39</v>
      </c>
      <c r="J164" s="37">
        <f t="shared" ref="J164:BQ164" si="76" xml:space="preserve">  IF( J162 = 0, 1, IF( J163 = 1, ( 1 + $F160 ) ^ J161, I164 ) )</f>
        <v>1</v>
      </c>
      <c r="K164" s="37">
        <f t="shared" si="76"/>
        <v>1.0606373855281319</v>
      </c>
      <c r="L164" s="37">
        <f t="shared" si="76"/>
        <v>1.1228173700183663</v>
      </c>
      <c r="M164" s="37">
        <f t="shared" si="76"/>
        <v>1.1909020797618532</v>
      </c>
      <c r="N164" s="37">
        <f t="shared" si="76"/>
        <v>1.2631152682986266</v>
      </c>
      <c r="O164" s="37">
        <f t="shared" si="76"/>
        <v>1.3371655411476067</v>
      </c>
      <c r="P164" s="37">
        <f t="shared" si="76"/>
        <v>1.4182477635811073</v>
      </c>
      <c r="Q164" s="37">
        <f t="shared" si="76"/>
        <v>1.5013926961905415</v>
      </c>
      <c r="R164" s="37">
        <f t="shared" si="76"/>
        <v>1.5924332239385688</v>
      </c>
      <c r="S164" s="37">
        <f t="shared" si="76"/>
        <v>1.6889942112663376</v>
      </c>
      <c r="T164" s="37">
        <f t="shared" si="76"/>
        <v>1.7817974362806785</v>
      </c>
      <c r="U164" s="37">
        <f t="shared" si="76"/>
        <v>1.8895370233838522</v>
      </c>
      <c r="V164" s="37">
        <f t="shared" si="76"/>
        <v>2</v>
      </c>
      <c r="W164" s="37">
        <f t="shared" si="76"/>
        <v>2.123116166406207</v>
      </c>
      <c r="X164" s="37">
        <f t="shared" si="76"/>
        <v>2.2474089271664077</v>
      </c>
      <c r="Y164" s="37">
        <f t="shared" si="76"/>
        <v>2.3834939697312532</v>
      </c>
      <c r="Z164" s="37">
        <f t="shared" si="76"/>
        <v>2.5278192299912496</v>
      </c>
      <c r="AA164" s="37">
        <f t="shared" si="76"/>
        <v>2.6758043641867868</v>
      </c>
      <c r="AB164" s="37">
        <f t="shared" si="76"/>
        <v>2.8378295952846591</v>
      </c>
      <c r="AC164" s="37">
        <f t="shared" si="76"/>
        <v>3.0039635452521662</v>
      </c>
      <c r="AD164" s="37">
        <f t="shared" si="76"/>
        <v>3.1875439973292665</v>
      </c>
      <c r="AE164" s="37">
        <f t="shared" si="76"/>
        <v>3.3806467402188143</v>
      </c>
      <c r="AF164" s="37">
        <f t="shared" si="76"/>
        <v>3.565097680673023</v>
      </c>
      <c r="AG164" s="37">
        <f t="shared" si="76"/>
        <v>3.7810727829410813</v>
      </c>
      <c r="AH164" s="37">
        <f t="shared" si="76"/>
        <v>4.002530534348697</v>
      </c>
      <c r="AI164" s="37">
        <f t="shared" si="76"/>
        <v>4.245005501072133</v>
      </c>
      <c r="AJ164" s="37">
        <f t="shared" si="76"/>
        <v>4.4936358308615398</v>
      </c>
      <c r="AK164" s="37">
        <f t="shared" si="76"/>
        <v>4.7658621609806406</v>
      </c>
      <c r="AL164" s="37">
        <f t="shared" si="76"/>
        <v>5.0545800755537291</v>
      </c>
      <c r="AM164" s="37">
        <f t="shared" si="76"/>
        <v>5.3506272563676252</v>
      </c>
      <c r="AN164" s="37">
        <f t="shared" si="76"/>
        <v>5.674770483959108</v>
      </c>
      <c r="AO164" s="37">
        <f t="shared" si="76"/>
        <v>6.0071422692370309</v>
      </c>
      <c r="AP164" s="37">
        <f t="shared" si="76"/>
        <v>6.3737497145436315</v>
      </c>
      <c r="AQ164" s="37">
        <f t="shared" si="76"/>
        <v>6.7599648394172203</v>
      </c>
      <c r="AR164" s="37">
        <f t="shared" si="76"/>
        <v>7.1288806340588637</v>
      </c>
      <c r="AS164" s="37">
        <f t="shared" si="76"/>
        <v>7.5608526517252477</v>
      </c>
      <c r="AT164" s="37">
        <f t="shared" si="76"/>
        <v>8.003796367598353</v>
      </c>
      <c r="AU164" s="37">
        <f t="shared" si="76"/>
        <v>8.4887835967832839</v>
      </c>
      <c r="AV164" s="37">
        <f t="shared" si="76"/>
        <v>8.9860890625555676</v>
      </c>
      <c r="AW164" s="37">
        <f t="shared" si="76"/>
        <v>9.5305979725149506</v>
      </c>
      <c r="AX164" s="37">
        <f t="shared" si="76"/>
        <v>10.108101208588977</v>
      </c>
      <c r="AY164" s="37">
        <f t="shared" si="76"/>
        <v>10.700272504075359</v>
      </c>
      <c r="AZ164" s="37">
        <f t="shared" si="76"/>
        <v>11.348651757486126</v>
      </c>
      <c r="BA164" s="37">
        <f t="shared" si="76"/>
        <v>12.013499256989205</v>
      </c>
      <c r="BB164" s="37">
        <f t="shared" si="76"/>
        <v>12.745893176469126</v>
      </c>
      <c r="BC164" s="37">
        <f t="shared" si="76"/>
        <v>13.518334978287017</v>
      </c>
      <c r="BD164" s="37">
        <f t="shared" si="76"/>
        <v>14.256183252216472</v>
      </c>
      <c r="BE164" s="37">
        <f t="shared" si="76"/>
        <v>15.120153452336938</v>
      </c>
      <c r="BF164" s="37">
        <f t="shared" si="76"/>
        <v>16.006074731707191</v>
      </c>
      <c r="BG164" s="37">
        <f t="shared" si="76"/>
        <v>16.976093939824924</v>
      </c>
      <c r="BH164" s="37">
        <f t="shared" si="76"/>
        <v>17.970758637460968</v>
      </c>
      <c r="BI164" s="37">
        <f t="shared" si="76"/>
        <v>19.059843960063692</v>
      </c>
      <c r="BJ164" s="37">
        <f t="shared" si="76"/>
        <v>20.214931328759011</v>
      </c>
      <c r="BK164" s="37">
        <f t="shared" si="76"/>
        <v>21.399366254079712</v>
      </c>
      <c r="BL164" s="37">
        <f t="shared" si="76"/>
        <v>22.696236139791509</v>
      </c>
      <c r="BM164" s="37">
        <f t="shared" si="76"/>
        <v>24.026055881451988</v>
      </c>
      <c r="BN164" s="37">
        <f t="shared" si="76"/>
        <v>25.452016011999472</v>
      </c>
      <c r="BO164" s="37">
        <f t="shared" si="76"/>
        <v>26.993909742126416</v>
      </c>
      <c r="BP164" s="37">
        <f t="shared" si="76"/>
        <v>28.520781445384184</v>
      </c>
      <c r="BQ164" s="37">
        <f t="shared" si="76"/>
        <v>30.248582263528654</v>
      </c>
    </row>
    <row r="165" spans="1:69" outlineLevel="1"/>
    <row r="166" spans="1:69" outlineLevel="1"/>
    <row r="167" spans="1:69" outlineLevel="1">
      <c r="B167" s="25" t="s">
        <v>281</v>
      </c>
    </row>
    <row r="168" spans="1:69" outlineLevel="2">
      <c r="A168" s="18"/>
      <c r="B168" s="18"/>
      <c r="C168" s="28"/>
      <c r="D168" s="27"/>
      <c r="E168" s="43" t="str">
        <f xml:space="preserve">  InpC!E$17</f>
        <v>Customer Order Growth annual start escalation rate</v>
      </c>
      <c r="F168" s="43">
        <f xml:space="preserve">  InpC!F$17</f>
        <v>1</v>
      </c>
      <c r="G168" s="43" t="str">
        <f xml:space="preserve">  InpC!G$17</f>
        <v>%</v>
      </c>
      <c r="M168" s="57"/>
    </row>
    <row r="169" spans="1:69" outlineLevel="2">
      <c r="A169" s="18"/>
      <c r="B169" s="18"/>
      <c r="C169" s="28"/>
      <c r="D169" s="27"/>
      <c r="E169" s="4" t="str">
        <f xml:space="preserve">  InpC!E$99</f>
        <v>Months in year</v>
      </c>
      <c r="F169" s="4">
        <f xml:space="preserve">  InpC!F$99</f>
        <v>12</v>
      </c>
      <c r="G169" s="4">
        <f xml:space="preserve">  InpC!G$99</f>
        <v>0</v>
      </c>
      <c r="M169" s="2"/>
    </row>
    <row r="170" spans="1:69" outlineLevel="2">
      <c r="A170" s="34"/>
      <c r="B170" s="34"/>
      <c r="C170" s="64"/>
      <c r="D170" s="65"/>
      <c r="E170" s="21" t="s">
        <v>281</v>
      </c>
      <c r="F170" s="209">
        <f xml:space="preserve">  ( 1 + $F168 ) ^ ( 1 / $F169 ) - 1</f>
        <v>5.946309435929531E-2</v>
      </c>
      <c r="G170" s="21" t="s">
        <v>209</v>
      </c>
      <c r="M170" s="57"/>
    </row>
    <row r="171" spans="1:69" outlineLevel="1"/>
    <row r="173" spans="1:69">
      <c r="A173" s="25" t="s">
        <v>241</v>
      </c>
    </row>
    <row r="174" spans="1:69" outlineLevel="1">
      <c r="B174" s="25" t="s">
        <v>106</v>
      </c>
    </row>
    <row r="175" spans="1:69" outlineLevel="2">
      <c r="A175" s="18"/>
      <c r="B175" s="18"/>
      <c r="C175" s="28"/>
      <c r="D175" s="27"/>
      <c r="E175" s="20" t="str">
        <f xml:space="preserve">  InpC!E$102</f>
        <v>Start date</v>
      </c>
      <c r="F175" s="20">
        <f xml:space="preserve">  InpC!F$102</f>
        <v>45047</v>
      </c>
      <c r="G175" s="20" t="str">
        <f xml:space="preserve">  InpC!G$102</f>
        <v>date</v>
      </c>
      <c r="M175" s="8"/>
    </row>
    <row r="176" spans="1:69" outlineLevel="2">
      <c r="E176" s="8" t="str">
        <f t="shared" ref="E176:BQ176" si="77" xml:space="preserve">  E$19</f>
        <v>Model period end</v>
      </c>
      <c r="F176" s="8">
        <f t="shared" si="77"/>
        <v>0</v>
      </c>
      <c r="G176" s="8" t="str">
        <f t="shared" si="77"/>
        <v>date</v>
      </c>
      <c r="H176" s="8">
        <f t="shared" si="77"/>
        <v>0</v>
      </c>
      <c r="I176" s="8">
        <f t="shared" si="77"/>
        <v>0</v>
      </c>
      <c r="J176" s="8">
        <f t="shared" si="77"/>
        <v>45077</v>
      </c>
      <c r="K176" s="8">
        <f t="shared" si="77"/>
        <v>45107</v>
      </c>
      <c r="L176" s="8">
        <f t="shared" si="77"/>
        <v>45138</v>
      </c>
      <c r="M176" s="8">
        <f t="shared" si="77"/>
        <v>45169</v>
      </c>
      <c r="N176" s="8">
        <f t="shared" si="77"/>
        <v>45199</v>
      </c>
      <c r="O176" s="8">
        <f t="shared" si="77"/>
        <v>45230</v>
      </c>
      <c r="P176" s="8">
        <f t="shared" si="77"/>
        <v>45260</v>
      </c>
      <c r="Q176" s="8">
        <f t="shared" si="77"/>
        <v>45291</v>
      </c>
      <c r="R176" s="8">
        <f t="shared" si="77"/>
        <v>45322</v>
      </c>
      <c r="S176" s="8">
        <f t="shared" si="77"/>
        <v>45351</v>
      </c>
      <c r="T176" s="8">
        <f t="shared" si="77"/>
        <v>45382</v>
      </c>
      <c r="U176" s="8">
        <f t="shared" si="77"/>
        <v>45412</v>
      </c>
      <c r="V176" s="8">
        <f t="shared" si="77"/>
        <v>45443</v>
      </c>
      <c r="W176" s="8">
        <f t="shared" si="77"/>
        <v>45473</v>
      </c>
      <c r="X176" s="8">
        <f t="shared" si="77"/>
        <v>45504</v>
      </c>
      <c r="Y176" s="8">
        <f t="shared" si="77"/>
        <v>45535</v>
      </c>
      <c r="Z176" s="8">
        <f t="shared" si="77"/>
        <v>45565</v>
      </c>
      <c r="AA176" s="8">
        <f t="shared" si="77"/>
        <v>45596</v>
      </c>
      <c r="AB176" s="8">
        <f t="shared" si="77"/>
        <v>45626</v>
      </c>
      <c r="AC176" s="8">
        <f t="shared" si="77"/>
        <v>45657</v>
      </c>
      <c r="AD176" s="8">
        <f t="shared" si="77"/>
        <v>45688</v>
      </c>
      <c r="AE176" s="8">
        <f t="shared" si="77"/>
        <v>45716</v>
      </c>
      <c r="AF176" s="8">
        <f t="shared" si="77"/>
        <v>45747</v>
      </c>
      <c r="AG176" s="8">
        <f t="shared" si="77"/>
        <v>45777</v>
      </c>
      <c r="AH176" s="8">
        <f t="shared" si="77"/>
        <v>45808</v>
      </c>
      <c r="AI176" s="8">
        <f t="shared" si="77"/>
        <v>45838</v>
      </c>
      <c r="AJ176" s="8">
        <f t="shared" si="77"/>
        <v>45869</v>
      </c>
      <c r="AK176" s="8">
        <f t="shared" si="77"/>
        <v>45900</v>
      </c>
      <c r="AL176" s="8">
        <f t="shared" si="77"/>
        <v>45930</v>
      </c>
      <c r="AM176" s="8">
        <f t="shared" si="77"/>
        <v>45961</v>
      </c>
      <c r="AN176" s="8">
        <f t="shared" si="77"/>
        <v>45991</v>
      </c>
      <c r="AO176" s="8">
        <f t="shared" si="77"/>
        <v>46022</v>
      </c>
      <c r="AP176" s="8">
        <f t="shared" si="77"/>
        <v>46053</v>
      </c>
      <c r="AQ176" s="8">
        <f t="shared" si="77"/>
        <v>46081</v>
      </c>
      <c r="AR176" s="8">
        <f t="shared" si="77"/>
        <v>46112</v>
      </c>
      <c r="AS176" s="8">
        <f t="shared" si="77"/>
        <v>46142</v>
      </c>
      <c r="AT176" s="8">
        <f t="shared" si="77"/>
        <v>46173</v>
      </c>
      <c r="AU176" s="8">
        <f t="shared" si="77"/>
        <v>46203</v>
      </c>
      <c r="AV176" s="8">
        <f t="shared" si="77"/>
        <v>46234</v>
      </c>
      <c r="AW176" s="8">
        <f t="shared" si="77"/>
        <v>46265</v>
      </c>
      <c r="AX176" s="8">
        <f t="shared" si="77"/>
        <v>46295</v>
      </c>
      <c r="AY176" s="8">
        <f t="shared" si="77"/>
        <v>46326</v>
      </c>
      <c r="AZ176" s="8">
        <f t="shared" si="77"/>
        <v>46356</v>
      </c>
      <c r="BA176" s="8">
        <f t="shared" si="77"/>
        <v>46387</v>
      </c>
      <c r="BB176" s="8">
        <f t="shared" si="77"/>
        <v>46418</v>
      </c>
      <c r="BC176" s="8">
        <f t="shared" si="77"/>
        <v>46446</v>
      </c>
      <c r="BD176" s="8">
        <f t="shared" si="77"/>
        <v>46477</v>
      </c>
      <c r="BE176" s="8">
        <f t="shared" si="77"/>
        <v>46507</v>
      </c>
      <c r="BF176" s="8">
        <f t="shared" si="77"/>
        <v>46538</v>
      </c>
      <c r="BG176" s="8">
        <f t="shared" si="77"/>
        <v>46568</v>
      </c>
      <c r="BH176" s="8">
        <f t="shared" si="77"/>
        <v>46599</v>
      </c>
      <c r="BI176" s="8">
        <f t="shared" si="77"/>
        <v>46630</v>
      </c>
      <c r="BJ176" s="8">
        <f t="shared" si="77"/>
        <v>46660</v>
      </c>
      <c r="BK176" s="8">
        <f t="shared" si="77"/>
        <v>46691</v>
      </c>
      <c r="BL176" s="8">
        <f t="shared" si="77"/>
        <v>46721</v>
      </c>
      <c r="BM176" s="8">
        <f t="shared" si="77"/>
        <v>46752</v>
      </c>
      <c r="BN176" s="8">
        <f t="shared" si="77"/>
        <v>46783</v>
      </c>
      <c r="BO176" s="8">
        <f t="shared" si="77"/>
        <v>46812</v>
      </c>
      <c r="BP176" s="8">
        <f t="shared" si="77"/>
        <v>46843</v>
      </c>
      <c r="BQ176" s="8">
        <f t="shared" si="77"/>
        <v>46873</v>
      </c>
    </row>
    <row r="177" spans="1:69" outlineLevel="2">
      <c r="E177" s="47" t="s">
        <v>106</v>
      </c>
      <c r="G177" s="47" t="s">
        <v>20</v>
      </c>
      <c r="H177" s="2">
        <f xml:space="preserve"> SUM( J177:BQ177 )</f>
        <v>60</v>
      </c>
      <c r="J177" s="2">
        <f t="shared" ref="J177:BQ177" si="78" xml:space="preserve">  IF( $F175 &lt; J176, 1, 0 )</f>
        <v>1</v>
      </c>
      <c r="K177" s="2">
        <f t="shared" si="78"/>
        <v>1</v>
      </c>
      <c r="L177" s="2">
        <f t="shared" si="78"/>
        <v>1</v>
      </c>
      <c r="M177" s="2">
        <f t="shared" si="78"/>
        <v>1</v>
      </c>
      <c r="N177" s="2">
        <f t="shared" si="78"/>
        <v>1</v>
      </c>
      <c r="O177" s="2">
        <f t="shared" si="78"/>
        <v>1</v>
      </c>
      <c r="P177" s="2">
        <f t="shared" si="78"/>
        <v>1</v>
      </c>
      <c r="Q177" s="2">
        <f t="shared" si="78"/>
        <v>1</v>
      </c>
      <c r="R177" s="2">
        <f t="shared" si="78"/>
        <v>1</v>
      </c>
      <c r="S177" s="2">
        <f t="shared" si="78"/>
        <v>1</v>
      </c>
      <c r="T177" s="2">
        <f t="shared" si="78"/>
        <v>1</v>
      </c>
      <c r="U177" s="2">
        <f t="shared" si="78"/>
        <v>1</v>
      </c>
      <c r="V177" s="2">
        <f t="shared" si="78"/>
        <v>1</v>
      </c>
      <c r="W177" s="2">
        <f t="shared" si="78"/>
        <v>1</v>
      </c>
      <c r="X177" s="2">
        <f t="shared" si="78"/>
        <v>1</v>
      </c>
      <c r="Y177" s="2">
        <f t="shared" si="78"/>
        <v>1</v>
      </c>
      <c r="Z177" s="2">
        <f t="shared" si="78"/>
        <v>1</v>
      </c>
      <c r="AA177" s="2">
        <f t="shared" si="78"/>
        <v>1</v>
      </c>
      <c r="AB177" s="2">
        <f t="shared" si="78"/>
        <v>1</v>
      </c>
      <c r="AC177" s="2">
        <f t="shared" si="78"/>
        <v>1</v>
      </c>
      <c r="AD177" s="2">
        <f t="shared" si="78"/>
        <v>1</v>
      </c>
      <c r="AE177" s="2">
        <f t="shared" si="78"/>
        <v>1</v>
      </c>
      <c r="AF177" s="2">
        <f t="shared" si="78"/>
        <v>1</v>
      </c>
      <c r="AG177" s="2">
        <f t="shared" si="78"/>
        <v>1</v>
      </c>
      <c r="AH177" s="2">
        <f t="shared" si="78"/>
        <v>1</v>
      </c>
      <c r="AI177" s="2">
        <f t="shared" si="78"/>
        <v>1</v>
      </c>
      <c r="AJ177" s="2">
        <f t="shared" si="78"/>
        <v>1</v>
      </c>
      <c r="AK177" s="2">
        <f t="shared" si="78"/>
        <v>1</v>
      </c>
      <c r="AL177" s="2">
        <f t="shared" si="78"/>
        <v>1</v>
      </c>
      <c r="AM177" s="2">
        <f t="shared" si="78"/>
        <v>1</v>
      </c>
      <c r="AN177" s="2">
        <f t="shared" si="78"/>
        <v>1</v>
      </c>
      <c r="AO177" s="2">
        <f t="shared" si="78"/>
        <v>1</v>
      </c>
      <c r="AP177" s="2">
        <f t="shared" si="78"/>
        <v>1</v>
      </c>
      <c r="AQ177" s="2">
        <f t="shared" si="78"/>
        <v>1</v>
      </c>
      <c r="AR177" s="2">
        <f t="shared" si="78"/>
        <v>1</v>
      </c>
      <c r="AS177" s="2">
        <f t="shared" si="78"/>
        <v>1</v>
      </c>
      <c r="AT177" s="2">
        <f t="shared" si="78"/>
        <v>1</v>
      </c>
      <c r="AU177" s="2">
        <f t="shared" si="78"/>
        <v>1</v>
      </c>
      <c r="AV177" s="2">
        <f t="shared" si="78"/>
        <v>1</v>
      </c>
      <c r="AW177" s="2">
        <f t="shared" si="78"/>
        <v>1</v>
      </c>
      <c r="AX177" s="2">
        <f t="shared" si="78"/>
        <v>1</v>
      </c>
      <c r="AY177" s="2">
        <f t="shared" si="78"/>
        <v>1</v>
      </c>
      <c r="AZ177" s="2">
        <f t="shared" si="78"/>
        <v>1</v>
      </c>
      <c r="BA177" s="2">
        <f t="shared" si="78"/>
        <v>1</v>
      </c>
      <c r="BB177" s="2">
        <f t="shared" si="78"/>
        <v>1</v>
      </c>
      <c r="BC177" s="2">
        <f t="shared" si="78"/>
        <v>1</v>
      </c>
      <c r="BD177" s="2">
        <f t="shared" si="78"/>
        <v>1</v>
      </c>
      <c r="BE177" s="2">
        <f t="shared" si="78"/>
        <v>1</v>
      </c>
      <c r="BF177" s="2">
        <f t="shared" si="78"/>
        <v>1</v>
      </c>
      <c r="BG177" s="2">
        <f t="shared" si="78"/>
        <v>1</v>
      </c>
      <c r="BH177" s="2">
        <f t="shared" si="78"/>
        <v>1</v>
      </c>
      <c r="BI177" s="2">
        <f t="shared" si="78"/>
        <v>1</v>
      </c>
      <c r="BJ177" s="2">
        <f t="shared" si="78"/>
        <v>1</v>
      </c>
      <c r="BK177" s="2">
        <f t="shared" si="78"/>
        <v>1</v>
      </c>
      <c r="BL177" s="2">
        <f t="shared" si="78"/>
        <v>1</v>
      </c>
      <c r="BM177" s="2">
        <f t="shared" si="78"/>
        <v>1</v>
      </c>
      <c r="BN177" s="2">
        <f t="shared" si="78"/>
        <v>1</v>
      </c>
      <c r="BO177" s="2">
        <f t="shared" si="78"/>
        <v>1</v>
      </c>
      <c r="BP177" s="2">
        <f t="shared" si="78"/>
        <v>1</v>
      </c>
      <c r="BQ177" s="2">
        <f t="shared" si="78"/>
        <v>1</v>
      </c>
    </row>
    <row r="178" spans="1:69" outlineLevel="1"/>
    <row r="179" spans="1:69" outlineLevel="1"/>
    <row r="180" spans="1:69" outlineLevel="1">
      <c r="B180" s="25" t="s">
        <v>298</v>
      </c>
    </row>
    <row r="181" spans="1:69" outlineLevel="2">
      <c r="A181" s="18"/>
      <c r="B181" s="18"/>
      <c r="C181" s="28"/>
      <c r="D181" s="27"/>
      <c r="E181" s="20" t="str">
        <f xml:space="preserve">  InpC!E$102</f>
        <v>Start date</v>
      </c>
      <c r="F181" s="20">
        <f xml:space="preserve">  InpC!F$102</f>
        <v>45047</v>
      </c>
      <c r="G181" s="20" t="str">
        <f xml:space="preserve">  InpC!G$102</f>
        <v>date</v>
      </c>
      <c r="M181" s="8"/>
    </row>
    <row r="182" spans="1:69" outlineLevel="2">
      <c r="E182" s="8" t="str">
        <f t="shared" ref="E182:BQ182" si="79" xml:space="preserve">  E$19</f>
        <v>Model period end</v>
      </c>
      <c r="F182" s="8">
        <f t="shared" si="79"/>
        <v>0</v>
      </c>
      <c r="G182" s="8" t="str">
        <f t="shared" si="79"/>
        <v>date</v>
      </c>
      <c r="H182" s="8">
        <f t="shared" si="79"/>
        <v>0</v>
      </c>
      <c r="I182" s="8">
        <f t="shared" si="79"/>
        <v>0</v>
      </c>
      <c r="J182" s="8">
        <f t="shared" si="79"/>
        <v>45077</v>
      </c>
      <c r="K182" s="8">
        <f t="shared" si="79"/>
        <v>45107</v>
      </c>
      <c r="L182" s="8">
        <f t="shared" si="79"/>
        <v>45138</v>
      </c>
      <c r="M182" s="8">
        <f t="shared" si="79"/>
        <v>45169</v>
      </c>
      <c r="N182" s="8">
        <f t="shared" si="79"/>
        <v>45199</v>
      </c>
      <c r="O182" s="8">
        <f t="shared" si="79"/>
        <v>45230</v>
      </c>
      <c r="P182" s="8">
        <f t="shared" si="79"/>
        <v>45260</v>
      </c>
      <c r="Q182" s="8">
        <f t="shared" si="79"/>
        <v>45291</v>
      </c>
      <c r="R182" s="8">
        <f t="shared" si="79"/>
        <v>45322</v>
      </c>
      <c r="S182" s="8">
        <f t="shared" si="79"/>
        <v>45351</v>
      </c>
      <c r="T182" s="8">
        <f t="shared" si="79"/>
        <v>45382</v>
      </c>
      <c r="U182" s="8">
        <f t="shared" si="79"/>
        <v>45412</v>
      </c>
      <c r="V182" s="8">
        <f t="shared" si="79"/>
        <v>45443</v>
      </c>
      <c r="W182" s="8">
        <f t="shared" si="79"/>
        <v>45473</v>
      </c>
      <c r="X182" s="8">
        <f t="shared" si="79"/>
        <v>45504</v>
      </c>
      <c r="Y182" s="8">
        <f t="shared" si="79"/>
        <v>45535</v>
      </c>
      <c r="Z182" s="8">
        <f t="shared" si="79"/>
        <v>45565</v>
      </c>
      <c r="AA182" s="8">
        <f t="shared" si="79"/>
        <v>45596</v>
      </c>
      <c r="AB182" s="8">
        <f t="shared" si="79"/>
        <v>45626</v>
      </c>
      <c r="AC182" s="8">
        <f t="shared" si="79"/>
        <v>45657</v>
      </c>
      <c r="AD182" s="8">
        <f t="shared" si="79"/>
        <v>45688</v>
      </c>
      <c r="AE182" s="8">
        <f t="shared" si="79"/>
        <v>45716</v>
      </c>
      <c r="AF182" s="8">
        <f t="shared" si="79"/>
        <v>45747</v>
      </c>
      <c r="AG182" s="8">
        <f t="shared" si="79"/>
        <v>45777</v>
      </c>
      <c r="AH182" s="8">
        <f t="shared" si="79"/>
        <v>45808</v>
      </c>
      <c r="AI182" s="8">
        <f t="shared" si="79"/>
        <v>45838</v>
      </c>
      <c r="AJ182" s="8">
        <f t="shared" si="79"/>
        <v>45869</v>
      </c>
      <c r="AK182" s="8">
        <f t="shared" si="79"/>
        <v>45900</v>
      </c>
      <c r="AL182" s="8">
        <f t="shared" si="79"/>
        <v>45930</v>
      </c>
      <c r="AM182" s="8">
        <f t="shared" si="79"/>
        <v>45961</v>
      </c>
      <c r="AN182" s="8">
        <f t="shared" si="79"/>
        <v>45991</v>
      </c>
      <c r="AO182" s="8">
        <f t="shared" si="79"/>
        <v>46022</v>
      </c>
      <c r="AP182" s="8">
        <f t="shared" si="79"/>
        <v>46053</v>
      </c>
      <c r="AQ182" s="8">
        <f t="shared" si="79"/>
        <v>46081</v>
      </c>
      <c r="AR182" s="8">
        <f t="shared" si="79"/>
        <v>46112</v>
      </c>
      <c r="AS182" s="8">
        <f t="shared" si="79"/>
        <v>46142</v>
      </c>
      <c r="AT182" s="8">
        <f t="shared" si="79"/>
        <v>46173</v>
      </c>
      <c r="AU182" s="8">
        <f t="shared" si="79"/>
        <v>46203</v>
      </c>
      <c r="AV182" s="8">
        <f t="shared" si="79"/>
        <v>46234</v>
      </c>
      <c r="AW182" s="8">
        <f t="shared" si="79"/>
        <v>46265</v>
      </c>
      <c r="AX182" s="8">
        <f t="shared" si="79"/>
        <v>46295</v>
      </c>
      <c r="AY182" s="8">
        <f t="shared" si="79"/>
        <v>46326</v>
      </c>
      <c r="AZ182" s="8">
        <f t="shared" si="79"/>
        <v>46356</v>
      </c>
      <c r="BA182" s="8">
        <f t="shared" si="79"/>
        <v>46387</v>
      </c>
      <c r="BB182" s="8">
        <f t="shared" si="79"/>
        <v>46418</v>
      </c>
      <c r="BC182" s="8">
        <f t="shared" si="79"/>
        <v>46446</v>
      </c>
      <c r="BD182" s="8">
        <f t="shared" si="79"/>
        <v>46477</v>
      </c>
      <c r="BE182" s="8">
        <f t="shared" si="79"/>
        <v>46507</v>
      </c>
      <c r="BF182" s="8">
        <f t="shared" si="79"/>
        <v>46538</v>
      </c>
      <c r="BG182" s="8">
        <f t="shared" si="79"/>
        <v>46568</v>
      </c>
      <c r="BH182" s="8">
        <f t="shared" si="79"/>
        <v>46599</v>
      </c>
      <c r="BI182" s="8">
        <f t="shared" si="79"/>
        <v>46630</v>
      </c>
      <c r="BJ182" s="8">
        <f t="shared" si="79"/>
        <v>46660</v>
      </c>
      <c r="BK182" s="8">
        <f t="shared" si="79"/>
        <v>46691</v>
      </c>
      <c r="BL182" s="8">
        <f t="shared" si="79"/>
        <v>46721</v>
      </c>
      <c r="BM182" s="8">
        <f t="shared" si="79"/>
        <v>46752</v>
      </c>
      <c r="BN182" s="8">
        <f t="shared" si="79"/>
        <v>46783</v>
      </c>
      <c r="BO182" s="8">
        <f t="shared" si="79"/>
        <v>46812</v>
      </c>
      <c r="BP182" s="8">
        <f t="shared" si="79"/>
        <v>46843</v>
      </c>
      <c r="BQ182" s="8">
        <f t="shared" si="79"/>
        <v>46873</v>
      </c>
    </row>
    <row r="183" spans="1:69" outlineLevel="2">
      <c r="E183" s="8" t="str">
        <f t="shared" ref="E183:BQ183" si="80" xml:space="preserve">  E$12</f>
        <v>Model period start</v>
      </c>
      <c r="F183" s="8">
        <f t="shared" si="80"/>
        <v>0</v>
      </c>
      <c r="G183" s="8" t="str">
        <f t="shared" si="80"/>
        <v>date</v>
      </c>
      <c r="H183" s="8">
        <f t="shared" si="80"/>
        <v>0</v>
      </c>
      <c r="I183" s="8">
        <f t="shared" si="80"/>
        <v>0</v>
      </c>
      <c r="J183" s="8">
        <f t="shared" si="80"/>
        <v>45047</v>
      </c>
      <c r="K183" s="8">
        <f t="shared" si="80"/>
        <v>45078</v>
      </c>
      <c r="L183" s="8">
        <f t="shared" si="80"/>
        <v>45108</v>
      </c>
      <c r="M183" s="8">
        <f t="shared" si="80"/>
        <v>45139</v>
      </c>
      <c r="N183" s="8">
        <f t="shared" si="80"/>
        <v>45170</v>
      </c>
      <c r="O183" s="8">
        <f t="shared" si="80"/>
        <v>45200</v>
      </c>
      <c r="P183" s="8">
        <f t="shared" si="80"/>
        <v>45231</v>
      </c>
      <c r="Q183" s="8">
        <f t="shared" si="80"/>
        <v>45261</v>
      </c>
      <c r="R183" s="8">
        <f t="shared" si="80"/>
        <v>45292</v>
      </c>
      <c r="S183" s="8">
        <f t="shared" si="80"/>
        <v>45323</v>
      </c>
      <c r="T183" s="8">
        <f t="shared" si="80"/>
        <v>45352</v>
      </c>
      <c r="U183" s="8">
        <f t="shared" si="80"/>
        <v>45383</v>
      </c>
      <c r="V183" s="8">
        <f t="shared" si="80"/>
        <v>45413</v>
      </c>
      <c r="W183" s="8">
        <f t="shared" si="80"/>
        <v>45444</v>
      </c>
      <c r="X183" s="8">
        <f t="shared" si="80"/>
        <v>45474</v>
      </c>
      <c r="Y183" s="8">
        <f t="shared" si="80"/>
        <v>45505</v>
      </c>
      <c r="Z183" s="8">
        <f t="shared" si="80"/>
        <v>45536</v>
      </c>
      <c r="AA183" s="8">
        <f t="shared" si="80"/>
        <v>45566</v>
      </c>
      <c r="AB183" s="8">
        <f t="shared" si="80"/>
        <v>45597</v>
      </c>
      <c r="AC183" s="8">
        <f t="shared" si="80"/>
        <v>45627</v>
      </c>
      <c r="AD183" s="8">
        <f t="shared" si="80"/>
        <v>45658</v>
      </c>
      <c r="AE183" s="8">
        <f t="shared" si="80"/>
        <v>45689</v>
      </c>
      <c r="AF183" s="8">
        <f t="shared" si="80"/>
        <v>45717</v>
      </c>
      <c r="AG183" s="8">
        <f t="shared" si="80"/>
        <v>45748</v>
      </c>
      <c r="AH183" s="8">
        <f t="shared" si="80"/>
        <v>45778</v>
      </c>
      <c r="AI183" s="8">
        <f t="shared" si="80"/>
        <v>45809</v>
      </c>
      <c r="AJ183" s="8">
        <f t="shared" si="80"/>
        <v>45839</v>
      </c>
      <c r="AK183" s="8">
        <f t="shared" si="80"/>
        <v>45870</v>
      </c>
      <c r="AL183" s="8">
        <f t="shared" si="80"/>
        <v>45901</v>
      </c>
      <c r="AM183" s="8">
        <f t="shared" si="80"/>
        <v>45931</v>
      </c>
      <c r="AN183" s="8">
        <f t="shared" si="80"/>
        <v>45962</v>
      </c>
      <c r="AO183" s="8">
        <f t="shared" si="80"/>
        <v>45992</v>
      </c>
      <c r="AP183" s="8">
        <f t="shared" si="80"/>
        <v>46023</v>
      </c>
      <c r="AQ183" s="8">
        <f t="shared" si="80"/>
        <v>46054</v>
      </c>
      <c r="AR183" s="8">
        <f t="shared" si="80"/>
        <v>46082</v>
      </c>
      <c r="AS183" s="8">
        <f t="shared" si="80"/>
        <v>46113</v>
      </c>
      <c r="AT183" s="8">
        <f t="shared" si="80"/>
        <v>46143</v>
      </c>
      <c r="AU183" s="8">
        <f t="shared" si="80"/>
        <v>46174</v>
      </c>
      <c r="AV183" s="8">
        <f t="shared" si="80"/>
        <v>46204</v>
      </c>
      <c r="AW183" s="8">
        <f t="shared" si="80"/>
        <v>46235</v>
      </c>
      <c r="AX183" s="8">
        <f t="shared" si="80"/>
        <v>46266</v>
      </c>
      <c r="AY183" s="8">
        <f t="shared" si="80"/>
        <v>46296</v>
      </c>
      <c r="AZ183" s="8">
        <f t="shared" si="80"/>
        <v>46327</v>
      </c>
      <c r="BA183" s="8">
        <f t="shared" si="80"/>
        <v>46357</v>
      </c>
      <c r="BB183" s="8">
        <f t="shared" si="80"/>
        <v>46388</v>
      </c>
      <c r="BC183" s="8">
        <f t="shared" si="80"/>
        <v>46419</v>
      </c>
      <c r="BD183" s="8">
        <f t="shared" si="80"/>
        <v>46447</v>
      </c>
      <c r="BE183" s="8">
        <f t="shared" si="80"/>
        <v>46478</v>
      </c>
      <c r="BF183" s="8">
        <f t="shared" si="80"/>
        <v>46508</v>
      </c>
      <c r="BG183" s="8">
        <f t="shared" si="80"/>
        <v>46539</v>
      </c>
      <c r="BH183" s="8">
        <f t="shared" si="80"/>
        <v>46569</v>
      </c>
      <c r="BI183" s="8">
        <f t="shared" si="80"/>
        <v>46600</v>
      </c>
      <c r="BJ183" s="8">
        <f t="shared" si="80"/>
        <v>46631</v>
      </c>
      <c r="BK183" s="8">
        <f t="shared" si="80"/>
        <v>46661</v>
      </c>
      <c r="BL183" s="8">
        <f t="shared" si="80"/>
        <v>46692</v>
      </c>
      <c r="BM183" s="8">
        <f t="shared" si="80"/>
        <v>46722</v>
      </c>
      <c r="BN183" s="8">
        <f t="shared" si="80"/>
        <v>46753</v>
      </c>
      <c r="BO183" s="8">
        <f t="shared" si="80"/>
        <v>46784</v>
      </c>
      <c r="BP183" s="8">
        <f t="shared" si="80"/>
        <v>46813</v>
      </c>
      <c r="BQ183" s="8">
        <f t="shared" si="80"/>
        <v>46844</v>
      </c>
    </row>
    <row r="184" spans="1:69" outlineLevel="2">
      <c r="E184" s="47" t="s">
        <v>298</v>
      </c>
      <c r="G184" s="47" t="s">
        <v>20</v>
      </c>
      <c r="H184" s="2">
        <f xml:space="preserve"> SUM( J184:BQ184 )</f>
        <v>1</v>
      </c>
      <c r="J184" s="2">
        <f t="shared" ref="J184:BQ184" si="81" xml:space="preserve">  IF( AND( J182 &gt;= $F181, J183 &lt;= $F181 ), 1, 0 )</f>
        <v>1</v>
      </c>
      <c r="K184" s="2">
        <f t="shared" si="81"/>
        <v>0</v>
      </c>
      <c r="L184" s="2">
        <f t="shared" si="81"/>
        <v>0</v>
      </c>
      <c r="M184" s="2">
        <f t="shared" si="81"/>
        <v>0</v>
      </c>
      <c r="N184" s="2">
        <f t="shared" si="81"/>
        <v>0</v>
      </c>
      <c r="O184" s="2">
        <f t="shared" si="81"/>
        <v>0</v>
      </c>
      <c r="P184" s="2">
        <f t="shared" si="81"/>
        <v>0</v>
      </c>
      <c r="Q184" s="2">
        <f t="shared" si="81"/>
        <v>0</v>
      </c>
      <c r="R184" s="2">
        <f t="shared" si="81"/>
        <v>0</v>
      </c>
      <c r="S184" s="2">
        <f t="shared" si="81"/>
        <v>0</v>
      </c>
      <c r="T184" s="2">
        <f t="shared" si="81"/>
        <v>0</v>
      </c>
      <c r="U184" s="2">
        <f t="shared" si="81"/>
        <v>0</v>
      </c>
      <c r="V184" s="2">
        <f t="shared" si="81"/>
        <v>0</v>
      </c>
      <c r="W184" s="2">
        <f t="shared" si="81"/>
        <v>0</v>
      </c>
      <c r="X184" s="2">
        <f t="shared" si="81"/>
        <v>0</v>
      </c>
      <c r="Y184" s="2">
        <f t="shared" si="81"/>
        <v>0</v>
      </c>
      <c r="Z184" s="2">
        <f t="shared" si="81"/>
        <v>0</v>
      </c>
      <c r="AA184" s="2">
        <f t="shared" si="81"/>
        <v>0</v>
      </c>
      <c r="AB184" s="2">
        <f t="shared" si="81"/>
        <v>0</v>
      </c>
      <c r="AC184" s="2">
        <f t="shared" si="81"/>
        <v>0</v>
      </c>
      <c r="AD184" s="2">
        <f t="shared" si="81"/>
        <v>0</v>
      </c>
      <c r="AE184" s="2">
        <f t="shared" si="81"/>
        <v>0</v>
      </c>
      <c r="AF184" s="2">
        <f t="shared" si="81"/>
        <v>0</v>
      </c>
      <c r="AG184" s="2">
        <f t="shared" si="81"/>
        <v>0</v>
      </c>
      <c r="AH184" s="2">
        <f t="shared" si="81"/>
        <v>0</v>
      </c>
      <c r="AI184" s="2">
        <f t="shared" si="81"/>
        <v>0</v>
      </c>
      <c r="AJ184" s="2">
        <f t="shared" si="81"/>
        <v>0</v>
      </c>
      <c r="AK184" s="2">
        <f t="shared" si="81"/>
        <v>0</v>
      </c>
      <c r="AL184" s="2">
        <f t="shared" si="81"/>
        <v>0</v>
      </c>
      <c r="AM184" s="2">
        <f t="shared" si="81"/>
        <v>0</v>
      </c>
      <c r="AN184" s="2">
        <f t="shared" si="81"/>
        <v>0</v>
      </c>
      <c r="AO184" s="2">
        <f t="shared" si="81"/>
        <v>0</v>
      </c>
      <c r="AP184" s="2">
        <f t="shared" si="81"/>
        <v>0</v>
      </c>
      <c r="AQ184" s="2">
        <f t="shared" si="81"/>
        <v>0</v>
      </c>
      <c r="AR184" s="2">
        <f t="shared" si="81"/>
        <v>0</v>
      </c>
      <c r="AS184" s="2">
        <f t="shared" si="81"/>
        <v>0</v>
      </c>
      <c r="AT184" s="2">
        <f t="shared" si="81"/>
        <v>0</v>
      </c>
      <c r="AU184" s="2">
        <f t="shared" si="81"/>
        <v>0</v>
      </c>
      <c r="AV184" s="2">
        <f t="shared" si="81"/>
        <v>0</v>
      </c>
      <c r="AW184" s="2">
        <f t="shared" si="81"/>
        <v>0</v>
      </c>
      <c r="AX184" s="2">
        <f t="shared" si="81"/>
        <v>0</v>
      </c>
      <c r="AY184" s="2">
        <f t="shared" si="81"/>
        <v>0</v>
      </c>
      <c r="AZ184" s="2">
        <f t="shared" si="81"/>
        <v>0</v>
      </c>
      <c r="BA184" s="2">
        <f t="shared" si="81"/>
        <v>0</v>
      </c>
      <c r="BB184" s="2">
        <f t="shared" si="81"/>
        <v>0</v>
      </c>
      <c r="BC184" s="2">
        <f t="shared" si="81"/>
        <v>0</v>
      </c>
      <c r="BD184" s="2">
        <f t="shared" si="81"/>
        <v>0</v>
      </c>
      <c r="BE184" s="2">
        <f t="shared" si="81"/>
        <v>0</v>
      </c>
      <c r="BF184" s="2">
        <f t="shared" si="81"/>
        <v>0</v>
      </c>
      <c r="BG184" s="2">
        <f t="shared" si="81"/>
        <v>0</v>
      </c>
      <c r="BH184" s="2">
        <f t="shared" si="81"/>
        <v>0</v>
      </c>
      <c r="BI184" s="2">
        <f t="shared" si="81"/>
        <v>0</v>
      </c>
      <c r="BJ184" s="2">
        <f t="shared" si="81"/>
        <v>0</v>
      </c>
      <c r="BK184" s="2">
        <f t="shared" si="81"/>
        <v>0</v>
      </c>
      <c r="BL184" s="2">
        <f t="shared" si="81"/>
        <v>0</v>
      </c>
      <c r="BM184" s="2">
        <f t="shared" si="81"/>
        <v>0</v>
      </c>
      <c r="BN184" s="2">
        <f t="shared" si="81"/>
        <v>0</v>
      </c>
      <c r="BO184" s="2">
        <f t="shared" si="81"/>
        <v>0</v>
      </c>
      <c r="BP184" s="2">
        <f t="shared" si="81"/>
        <v>0</v>
      </c>
      <c r="BQ184" s="2">
        <f t="shared" si="81"/>
        <v>0</v>
      </c>
    </row>
    <row r="185" spans="1:69" outlineLevel="1"/>
    <row r="186" spans="1:69" outlineLevel="1"/>
    <row r="187" spans="1:69" outlineLevel="1">
      <c r="B187" s="25" t="s">
        <v>282</v>
      </c>
    </row>
    <row r="188" spans="1:69" outlineLevel="2">
      <c r="E188" s="5" t="str">
        <f t="shared" ref="E188:BQ188" si="82" xml:space="preserve">  E$28</f>
        <v>Period number</v>
      </c>
      <c r="F188" s="5">
        <f t="shared" si="82"/>
        <v>0</v>
      </c>
      <c r="G188" s="5" t="str">
        <f t="shared" si="82"/>
        <v>Counter</v>
      </c>
      <c r="H188" s="5">
        <f t="shared" si="82"/>
        <v>0</v>
      </c>
      <c r="I188" s="5">
        <f t="shared" si="82"/>
        <v>0</v>
      </c>
      <c r="J188" s="5">
        <f t="shared" si="82"/>
        <v>1</v>
      </c>
      <c r="K188" s="5">
        <f t="shared" si="82"/>
        <v>2</v>
      </c>
      <c r="L188" s="5">
        <f t="shared" si="82"/>
        <v>3</v>
      </c>
      <c r="M188" s="5">
        <f t="shared" si="82"/>
        <v>4</v>
      </c>
      <c r="N188" s="5">
        <f t="shared" si="82"/>
        <v>5</v>
      </c>
      <c r="O188" s="5">
        <f t="shared" si="82"/>
        <v>6</v>
      </c>
      <c r="P188" s="5">
        <f t="shared" si="82"/>
        <v>7</v>
      </c>
      <c r="Q188" s="5">
        <f t="shared" si="82"/>
        <v>8</v>
      </c>
      <c r="R188" s="5">
        <f t="shared" si="82"/>
        <v>9</v>
      </c>
      <c r="S188" s="5">
        <f t="shared" si="82"/>
        <v>10</v>
      </c>
      <c r="T188" s="5">
        <f t="shared" si="82"/>
        <v>11</v>
      </c>
      <c r="U188" s="5">
        <f t="shared" si="82"/>
        <v>12</v>
      </c>
      <c r="V188" s="5">
        <f t="shared" si="82"/>
        <v>13</v>
      </c>
      <c r="W188" s="5">
        <f t="shared" si="82"/>
        <v>14</v>
      </c>
      <c r="X188" s="5">
        <f t="shared" si="82"/>
        <v>15</v>
      </c>
      <c r="Y188" s="5">
        <f t="shared" si="82"/>
        <v>16</v>
      </c>
      <c r="Z188" s="5">
        <f t="shared" si="82"/>
        <v>17</v>
      </c>
      <c r="AA188" s="5">
        <f t="shared" si="82"/>
        <v>18</v>
      </c>
      <c r="AB188" s="5">
        <f t="shared" si="82"/>
        <v>19</v>
      </c>
      <c r="AC188" s="5">
        <f t="shared" si="82"/>
        <v>20</v>
      </c>
      <c r="AD188" s="5">
        <f t="shared" si="82"/>
        <v>21</v>
      </c>
      <c r="AE188" s="5">
        <f t="shared" si="82"/>
        <v>22</v>
      </c>
      <c r="AF188" s="5">
        <f t="shared" si="82"/>
        <v>23</v>
      </c>
      <c r="AG188" s="5">
        <f t="shared" si="82"/>
        <v>24</v>
      </c>
      <c r="AH188" s="5">
        <f t="shared" si="82"/>
        <v>25</v>
      </c>
      <c r="AI188" s="5">
        <f t="shared" si="82"/>
        <v>26</v>
      </c>
      <c r="AJ188" s="5">
        <f t="shared" si="82"/>
        <v>27</v>
      </c>
      <c r="AK188" s="5">
        <f t="shared" si="82"/>
        <v>28</v>
      </c>
      <c r="AL188" s="5">
        <f t="shared" si="82"/>
        <v>29</v>
      </c>
      <c r="AM188" s="5">
        <f t="shared" si="82"/>
        <v>30</v>
      </c>
      <c r="AN188" s="5">
        <f t="shared" si="82"/>
        <v>31</v>
      </c>
      <c r="AO188" s="5">
        <f t="shared" si="82"/>
        <v>32</v>
      </c>
      <c r="AP188" s="5">
        <f t="shared" si="82"/>
        <v>33</v>
      </c>
      <c r="AQ188" s="5">
        <f t="shared" si="82"/>
        <v>34</v>
      </c>
      <c r="AR188" s="5">
        <f t="shared" si="82"/>
        <v>35</v>
      </c>
      <c r="AS188" s="5">
        <f t="shared" si="82"/>
        <v>36</v>
      </c>
      <c r="AT188" s="5">
        <f t="shared" si="82"/>
        <v>37</v>
      </c>
      <c r="AU188" s="5">
        <f t="shared" si="82"/>
        <v>38</v>
      </c>
      <c r="AV188" s="5">
        <f t="shared" si="82"/>
        <v>39</v>
      </c>
      <c r="AW188" s="5">
        <f t="shared" si="82"/>
        <v>40</v>
      </c>
      <c r="AX188" s="5">
        <f t="shared" si="82"/>
        <v>41</v>
      </c>
      <c r="AY188" s="5">
        <f t="shared" si="82"/>
        <v>42</v>
      </c>
      <c r="AZ188" s="5">
        <f t="shared" si="82"/>
        <v>43</v>
      </c>
      <c r="BA188" s="5">
        <f t="shared" si="82"/>
        <v>44</v>
      </c>
      <c r="BB188" s="5">
        <f t="shared" si="82"/>
        <v>45</v>
      </c>
      <c r="BC188" s="5">
        <f t="shared" si="82"/>
        <v>46</v>
      </c>
      <c r="BD188" s="5">
        <f t="shared" si="82"/>
        <v>47</v>
      </c>
      <c r="BE188" s="5">
        <f t="shared" si="82"/>
        <v>48</v>
      </c>
      <c r="BF188" s="5">
        <f t="shared" si="82"/>
        <v>49</v>
      </c>
      <c r="BG188" s="5">
        <f t="shared" si="82"/>
        <v>50</v>
      </c>
      <c r="BH188" s="5">
        <f t="shared" si="82"/>
        <v>51</v>
      </c>
      <c r="BI188" s="5">
        <f t="shared" si="82"/>
        <v>52</v>
      </c>
      <c r="BJ188" s="5">
        <f t="shared" si="82"/>
        <v>53</v>
      </c>
      <c r="BK188" s="5">
        <f t="shared" si="82"/>
        <v>54</v>
      </c>
      <c r="BL188" s="5">
        <f t="shared" si="82"/>
        <v>55</v>
      </c>
      <c r="BM188" s="5">
        <f t="shared" si="82"/>
        <v>56</v>
      </c>
      <c r="BN188" s="5">
        <f t="shared" si="82"/>
        <v>57</v>
      </c>
      <c r="BO188" s="5">
        <f t="shared" si="82"/>
        <v>58</v>
      </c>
      <c r="BP188" s="5">
        <f t="shared" si="82"/>
        <v>59</v>
      </c>
      <c r="BQ188" s="5">
        <f t="shared" si="82"/>
        <v>60</v>
      </c>
    </row>
    <row r="189" spans="1:69" outlineLevel="2">
      <c r="E189" s="2" t="str">
        <f t="shared" ref="E189:BQ189" si="83" xml:space="preserve">  E$184</f>
        <v>First Fixed Operating Cost Growth Rate escalation flag</v>
      </c>
      <c r="F189" s="2">
        <f t="shared" si="83"/>
        <v>0</v>
      </c>
      <c r="G189" s="2" t="str">
        <f t="shared" si="83"/>
        <v>flag</v>
      </c>
      <c r="H189" s="2">
        <f t="shared" si="83"/>
        <v>1</v>
      </c>
      <c r="I189" s="2">
        <f t="shared" si="83"/>
        <v>0</v>
      </c>
      <c r="J189" s="2">
        <f t="shared" si="83"/>
        <v>1</v>
      </c>
      <c r="K189" s="2">
        <f t="shared" si="83"/>
        <v>0</v>
      </c>
      <c r="L189" s="2">
        <f t="shared" si="83"/>
        <v>0</v>
      </c>
      <c r="M189" s="2">
        <f t="shared" si="83"/>
        <v>0</v>
      </c>
      <c r="N189" s="2">
        <f t="shared" si="83"/>
        <v>0</v>
      </c>
      <c r="O189" s="2">
        <f t="shared" si="83"/>
        <v>0</v>
      </c>
      <c r="P189" s="2">
        <f t="shared" si="83"/>
        <v>0</v>
      </c>
      <c r="Q189" s="2">
        <f t="shared" si="83"/>
        <v>0</v>
      </c>
      <c r="R189" s="2">
        <f t="shared" si="83"/>
        <v>0</v>
      </c>
      <c r="S189" s="2">
        <f t="shared" si="83"/>
        <v>0</v>
      </c>
      <c r="T189" s="2">
        <f t="shared" si="83"/>
        <v>0</v>
      </c>
      <c r="U189" s="2">
        <f t="shared" si="83"/>
        <v>0</v>
      </c>
      <c r="V189" s="2">
        <f t="shared" si="83"/>
        <v>0</v>
      </c>
      <c r="W189" s="2">
        <f t="shared" si="83"/>
        <v>0</v>
      </c>
      <c r="X189" s="2">
        <f t="shared" si="83"/>
        <v>0</v>
      </c>
      <c r="Y189" s="2">
        <f t="shared" si="83"/>
        <v>0</v>
      </c>
      <c r="Z189" s="2">
        <f t="shared" si="83"/>
        <v>0</v>
      </c>
      <c r="AA189" s="2">
        <f t="shared" si="83"/>
        <v>0</v>
      </c>
      <c r="AB189" s="2">
        <f t="shared" si="83"/>
        <v>0</v>
      </c>
      <c r="AC189" s="2">
        <f t="shared" si="83"/>
        <v>0</v>
      </c>
      <c r="AD189" s="2">
        <f t="shared" si="83"/>
        <v>0</v>
      </c>
      <c r="AE189" s="2">
        <f t="shared" si="83"/>
        <v>0</v>
      </c>
      <c r="AF189" s="2">
        <f t="shared" si="83"/>
        <v>0</v>
      </c>
      <c r="AG189" s="2">
        <f t="shared" si="83"/>
        <v>0</v>
      </c>
      <c r="AH189" s="2">
        <f t="shared" si="83"/>
        <v>0</v>
      </c>
      <c r="AI189" s="2">
        <f t="shared" si="83"/>
        <v>0</v>
      </c>
      <c r="AJ189" s="2">
        <f t="shared" si="83"/>
        <v>0</v>
      </c>
      <c r="AK189" s="2">
        <f t="shared" si="83"/>
        <v>0</v>
      </c>
      <c r="AL189" s="2">
        <f t="shared" si="83"/>
        <v>0</v>
      </c>
      <c r="AM189" s="2">
        <f t="shared" si="83"/>
        <v>0</v>
      </c>
      <c r="AN189" s="2">
        <f t="shared" si="83"/>
        <v>0</v>
      </c>
      <c r="AO189" s="2">
        <f t="shared" si="83"/>
        <v>0</v>
      </c>
      <c r="AP189" s="2">
        <f t="shared" si="83"/>
        <v>0</v>
      </c>
      <c r="AQ189" s="2">
        <f t="shared" si="83"/>
        <v>0</v>
      </c>
      <c r="AR189" s="2">
        <f t="shared" si="83"/>
        <v>0</v>
      </c>
      <c r="AS189" s="2">
        <f t="shared" si="83"/>
        <v>0</v>
      </c>
      <c r="AT189" s="2">
        <f t="shared" si="83"/>
        <v>0</v>
      </c>
      <c r="AU189" s="2">
        <f t="shared" si="83"/>
        <v>0</v>
      </c>
      <c r="AV189" s="2">
        <f t="shared" si="83"/>
        <v>0</v>
      </c>
      <c r="AW189" s="2">
        <f t="shared" si="83"/>
        <v>0</v>
      </c>
      <c r="AX189" s="2">
        <f t="shared" si="83"/>
        <v>0</v>
      </c>
      <c r="AY189" s="2">
        <f t="shared" si="83"/>
        <v>0</v>
      </c>
      <c r="AZ189" s="2">
        <f t="shared" si="83"/>
        <v>0</v>
      </c>
      <c r="BA189" s="2">
        <f t="shared" si="83"/>
        <v>0</v>
      </c>
      <c r="BB189" s="2">
        <f t="shared" si="83"/>
        <v>0</v>
      </c>
      <c r="BC189" s="2">
        <f t="shared" si="83"/>
        <v>0</v>
      </c>
      <c r="BD189" s="2">
        <f t="shared" si="83"/>
        <v>0</v>
      </c>
      <c r="BE189" s="2">
        <f t="shared" si="83"/>
        <v>0</v>
      </c>
      <c r="BF189" s="2">
        <f t="shared" si="83"/>
        <v>0</v>
      </c>
      <c r="BG189" s="2">
        <f t="shared" si="83"/>
        <v>0</v>
      </c>
      <c r="BH189" s="2">
        <f t="shared" si="83"/>
        <v>0</v>
      </c>
      <c r="BI189" s="2">
        <f t="shared" si="83"/>
        <v>0</v>
      </c>
      <c r="BJ189" s="2">
        <f t="shared" si="83"/>
        <v>0</v>
      </c>
      <c r="BK189" s="2">
        <f t="shared" si="83"/>
        <v>0</v>
      </c>
      <c r="BL189" s="2">
        <f t="shared" si="83"/>
        <v>0</v>
      </c>
      <c r="BM189" s="2">
        <f t="shared" si="83"/>
        <v>0</v>
      </c>
      <c r="BN189" s="2">
        <f t="shared" si="83"/>
        <v>0</v>
      </c>
      <c r="BO189" s="2">
        <f t="shared" si="83"/>
        <v>0</v>
      </c>
      <c r="BP189" s="2">
        <f t="shared" si="83"/>
        <v>0</v>
      </c>
      <c r="BQ189" s="2">
        <f t="shared" si="83"/>
        <v>0</v>
      </c>
    </row>
    <row r="190" spans="1:69" outlineLevel="2">
      <c r="E190" s="47" t="s">
        <v>282</v>
      </c>
      <c r="H190" s="2">
        <f xml:space="preserve"> SUM( J190:BQ190 )</f>
        <v>1</v>
      </c>
      <c r="J190" s="2">
        <f t="shared" ref="J190:BQ190" si="84" xml:space="preserve">  J188 * J189</f>
        <v>1</v>
      </c>
      <c r="K190" s="2">
        <f t="shared" si="84"/>
        <v>0</v>
      </c>
      <c r="L190" s="2">
        <f t="shared" si="84"/>
        <v>0</v>
      </c>
      <c r="M190" s="2">
        <f t="shared" si="84"/>
        <v>0</v>
      </c>
      <c r="N190" s="2">
        <f t="shared" si="84"/>
        <v>0</v>
      </c>
      <c r="O190" s="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2">
        <f t="shared" si="84"/>
        <v>0</v>
      </c>
      <c r="Z190" s="2">
        <f t="shared" si="84"/>
        <v>0</v>
      </c>
      <c r="AA190" s="2">
        <f t="shared" si="84"/>
        <v>0</v>
      </c>
      <c r="AB190" s="2">
        <f t="shared" si="84"/>
        <v>0</v>
      </c>
      <c r="AC190" s="2">
        <f t="shared" si="84"/>
        <v>0</v>
      </c>
      <c r="AD190" s="2">
        <f t="shared" si="84"/>
        <v>0</v>
      </c>
      <c r="AE190" s="2">
        <f t="shared" si="84"/>
        <v>0</v>
      </c>
      <c r="AF190" s="2">
        <f t="shared" si="84"/>
        <v>0</v>
      </c>
      <c r="AG190" s="2">
        <f t="shared" si="84"/>
        <v>0</v>
      </c>
      <c r="AH190" s="2">
        <f t="shared" si="84"/>
        <v>0</v>
      </c>
      <c r="AI190" s="2">
        <f t="shared" si="84"/>
        <v>0</v>
      </c>
      <c r="AJ190" s="2">
        <f t="shared" si="84"/>
        <v>0</v>
      </c>
      <c r="AK190" s="2">
        <f t="shared" si="84"/>
        <v>0</v>
      </c>
      <c r="AL190" s="2">
        <f t="shared" si="84"/>
        <v>0</v>
      </c>
      <c r="AM190" s="2">
        <f t="shared" si="84"/>
        <v>0</v>
      </c>
      <c r="AN190" s="2">
        <f t="shared" si="84"/>
        <v>0</v>
      </c>
      <c r="AO190" s="2">
        <f t="shared" si="84"/>
        <v>0</v>
      </c>
      <c r="AP190" s="2">
        <f t="shared" si="84"/>
        <v>0</v>
      </c>
      <c r="AQ190" s="2">
        <f t="shared" si="84"/>
        <v>0</v>
      </c>
      <c r="AR190" s="2">
        <f t="shared" si="84"/>
        <v>0</v>
      </c>
      <c r="AS190" s="2">
        <f t="shared" si="84"/>
        <v>0</v>
      </c>
      <c r="AT190" s="2">
        <f t="shared" si="84"/>
        <v>0</v>
      </c>
      <c r="AU190" s="2">
        <f t="shared" si="84"/>
        <v>0</v>
      </c>
      <c r="AV190" s="2">
        <f t="shared" si="84"/>
        <v>0</v>
      </c>
      <c r="AW190" s="2">
        <f t="shared" si="84"/>
        <v>0</v>
      </c>
      <c r="AX190" s="2">
        <f t="shared" si="84"/>
        <v>0</v>
      </c>
      <c r="AY190" s="2">
        <f t="shared" si="84"/>
        <v>0</v>
      </c>
      <c r="AZ190" s="2">
        <f t="shared" si="84"/>
        <v>0</v>
      </c>
      <c r="BA190" s="2">
        <f t="shared" si="84"/>
        <v>0</v>
      </c>
      <c r="BB190" s="2">
        <f t="shared" si="84"/>
        <v>0</v>
      </c>
      <c r="BC190" s="2">
        <f t="shared" si="84"/>
        <v>0</v>
      </c>
      <c r="BD190" s="2">
        <f t="shared" si="84"/>
        <v>0</v>
      </c>
      <c r="BE190" s="2">
        <f t="shared" si="84"/>
        <v>0</v>
      </c>
      <c r="BF190" s="2">
        <f t="shared" si="84"/>
        <v>0</v>
      </c>
      <c r="BG190" s="2">
        <f t="shared" si="84"/>
        <v>0</v>
      </c>
      <c r="BH190" s="2">
        <f t="shared" si="84"/>
        <v>0</v>
      </c>
      <c r="BI190" s="2">
        <f t="shared" si="84"/>
        <v>0</v>
      </c>
      <c r="BJ190" s="2">
        <f t="shared" si="84"/>
        <v>0</v>
      </c>
      <c r="BK190" s="2">
        <f t="shared" si="84"/>
        <v>0</v>
      </c>
      <c r="BL190" s="2">
        <f t="shared" si="84"/>
        <v>0</v>
      </c>
      <c r="BM190" s="2">
        <f t="shared" si="84"/>
        <v>0</v>
      </c>
      <c r="BN190" s="2">
        <f t="shared" si="84"/>
        <v>0</v>
      </c>
      <c r="BO190" s="2">
        <f t="shared" si="84"/>
        <v>0</v>
      </c>
      <c r="BP190" s="2">
        <f t="shared" si="84"/>
        <v>0</v>
      </c>
      <c r="BQ190" s="2">
        <f t="shared" si="84"/>
        <v>0</v>
      </c>
    </row>
    <row r="191" spans="1:69" outlineLevel="1"/>
    <row r="192" spans="1:69" outlineLevel="1"/>
    <row r="193" spans="1:69" outlineLevel="1">
      <c r="B193" s="25" t="s">
        <v>197</v>
      </c>
    </row>
    <row r="194" spans="1:69" outlineLevel="2">
      <c r="E194" s="2" t="str">
        <f t="shared" ref="E194:BQ194" si="85" xml:space="preserve">  E$190</f>
        <v>First Fixed Operating Cost Growth Rate escalation period</v>
      </c>
      <c r="F194" s="2">
        <f t="shared" si="85"/>
        <v>0</v>
      </c>
      <c r="G194" s="2">
        <f t="shared" si="85"/>
        <v>0</v>
      </c>
      <c r="H194" s="2">
        <f t="shared" si="85"/>
        <v>1</v>
      </c>
      <c r="I194" s="2">
        <f t="shared" si="85"/>
        <v>0</v>
      </c>
      <c r="J194" s="2">
        <f t="shared" si="85"/>
        <v>1</v>
      </c>
      <c r="K194" s="2">
        <f t="shared" si="85"/>
        <v>0</v>
      </c>
      <c r="L194" s="2">
        <f t="shared" si="85"/>
        <v>0</v>
      </c>
      <c r="M194" s="2">
        <f t="shared" si="85"/>
        <v>0</v>
      </c>
      <c r="N194" s="2">
        <f t="shared" si="85"/>
        <v>0</v>
      </c>
      <c r="O194" s="2">
        <f t="shared" si="85"/>
        <v>0</v>
      </c>
      <c r="P194" s="2">
        <f t="shared" si="85"/>
        <v>0</v>
      </c>
      <c r="Q194" s="2">
        <f t="shared" si="85"/>
        <v>0</v>
      </c>
      <c r="R194" s="2">
        <f t="shared" si="85"/>
        <v>0</v>
      </c>
      <c r="S194" s="2">
        <f t="shared" si="85"/>
        <v>0</v>
      </c>
      <c r="T194" s="2">
        <f t="shared" si="85"/>
        <v>0</v>
      </c>
      <c r="U194" s="2">
        <f t="shared" si="85"/>
        <v>0</v>
      </c>
      <c r="V194" s="2">
        <f t="shared" si="85"/>
        <v>0</v>
      </c>
      <c r="W194" s="2">
        <f t="shared" si="85"/>
        <v>0</v>
      </c>
      <c r="X194" s="2">
        <f t="shared" si="85"/>
        <v>0</v>
      </c>
      <c r="Y194" s="2">
        <f t="shared" si="85"/>
        <v>0</v>
      </c>
      <c r="Z194" s="2">
        <f t="shared" si="85"/>
        <v>0</v>
      </c>
      <c r="AA194" s="2">
        <f t="shared" si="85"/>
        <v>0</v>
      </c>
      <c r="AB194" s="2">
        <f t="shared" si="85"/>
        <v>0</v>
      </c>
      <c r="AC194" s="2">
        <f t="shared" si="85"/>
        <v>0</v>
      </c>
      <c r="AD194" s="2">
        <f t="shared" si="85"/>
        <v>0</v>
      </c>
      <c r="AE194" s="2">
        <f t="shared" si="85"/>
        <v>0</v>
      </c>
      <c r="AF194" s="2">
        <f t="shared" si="85"/>
        <v>0</v>
      </c>
      <c r="AG194" s="2">
        <f t="shared" si="85"/>
        <v>0</v>
      </c>
      <c r="AH194" s="2">
        <f t="shared" si="85"/>
        <v>0</v>
      </c>
      <c r="AI194" s="2">
        <f t="shared" si="85"/>
        <v>0</v>
      </c>
      <c r="AJ194" s="2">
        <f t="shared" si="85"/>
        <v>0</v>
      </c>
      <c r="AK194" s="2">
        <f t="shared" si="85"/>
        <v>0</v>
      </c>
      <c r="AL194" s="2">
        <f t="shared" si="85"/>
        <v>0</v>
      </c>
      <c r="AM194" s="2">
        <f t="shared" si="85"/>
        <v>0</v>
      </c>
      <c r="AN194" s="2">
        <f t="shared" si="85"/>
        <v>0</v>
      </c>
      <c r="AO194" s="2">
        <f t="shared" si="85"/>
        <v>0</v>
      </c>
      <c r="AP194" s="2">
        <f t="shared" si="85"/>
        <v>0</v>
      </c>
      <c r="AQ194" s="2">
        <f t="shared" si="85"/>
        <v>0</v>
      </c>
      <c r="AR194" s="2">
        <f t="shared" si="85"/>
        <v>0</v>
      </c>
      <c r="AS194" s="2">
        <f t="shared" si="85"/>
        <v>0</v>
      </c>
      <c r="AT194" s="2">
        <f t="shared" si="85"/>
        <v>0</v>
      </c>
      <c r="AU194" s="2">
        <f t="shared" si="85"/>
        <v>0</v>
      </c>
      <c r="AV194" s="2">
        <f t="shared" si="85"/>
        <v>0</v>
      </c>
      <c r="AW194" s="2">
        <f t="shared" si="85"/>
        <v>0</v>
      </c>
      <c r="AX194" s="2">
        <f t="shared" si="85"/>
        <v>0</v>
      </c>
      <c r="AY194" s="2">
        <f t="shared" si="85"/>
        <v>0</v>
      </c>
      <c r="AZ194" s="2">
        <f t="shared" si="85"/>
        <v>0</v>
      </c>
      <c r="BA194" s="2">
        <f t="shared" si="85"/>
        <v>0</v>
      </c>
      <c r="BB194" s="2">
        <f t="shared" si="85"/>
        <v>0</v>
      </c>
      <c r="BC194" s="2">
        <f t="shared" si="85"/>
        <v>0</v>
      </c>
      <c r="BD194" s="2">
        <f t="shared" si="85"/>
        <v>0</v>
      </c>
      <c r="BE194" s="2">
        <f t="shared" si="85"/>
        <v>0</v>
      </c>
      <c r="BF194" s="2">
        <f t="shared" si="85"/>
        <v>0</v>
      </c>
      <c r="BG194" s="2">
        <f t="shared" si="85"/>
        <v>0</v>
      </c>
      <c r="BH194" s="2">
        <f t="shared" si="85"/>
        <v>0</v>
      </c>
      <c r="BI194" s="2">
        <f t="shared" si="85"/>
        <v>0</v>
      </c>
      <c r="BJ194" s="2">
        <f t="shared" si="85"/>
        <v>0</v>
      </c>
      <c r="BK194" s="2">
        <f t="shared" si="85"/>
        <v>0</v>
      </c>
      <c r="BL194" s="2">
        <f t="shared" si="85"/>
        <v>0</v>
      </c>
      <c r="BM194" s="2">
        <f t="shared" si="85"/>
        <v>0</v>
      </c>
      <c r="BN194" s="2">
        <f t="shared" si="85"/>
        <v>0</v>
      </c>
      <c r="BO194" s="2">
        <f t="shared" si="85"/>
        <v>0</v>
      </c>
      <c r="BP194" s="2">
        <f t="shared" si="85"/>
        <v>0</v>
      </c>
      <c r="BQ194" s="2">
        <f t="shared" si="85"/>
        <v>0</v>
      </c>
    </row>
    <row r="195" spans="1:69" outlineLevel="2">
      <c r="E195" s="47" t="s">
        <v>197</v>
      </c>
      <c r="F195" s="2">
        <f xml:space="preserve">  SUM( $J194:$BQ194 )</f>
        <v>1</v>
      </c>
      <c r="M195" s="2"/>
    </row>
    <row r="196" spans="1:69" outlineLevel="1"/>
    <row r="197" spans="1:69" outlineLevel="1"/>
    <row r="198" spans="1:69" outlineLevel="1">
      <c r="B198" s="25" t="s">
        <v>128</v>
      </c>
    </row>
    <row r="199" spans="1:69" outlineLevel="2">
      <c r="E199" s="2" t="str">
        <f t="shared" ref="E199:G199" si="86" xml:space="preserve">  E$195</f>
        <v>Period of first Fixed Operating Cost Growth Rate escalation</v>
      </c>
      <c r="F199" s="2">
        <f t="shared" si="86"/>
        <v>1</v>
      </c>
      <c r="G199" s="2">
        <f t="shared" si="86"/>
        <v>0</v>
      </c>
      <c r="M199" s="2"/>
    </row>
    <row r="200" spans="1:69" outlineLevel="2">
      <c r="A200" s="18"/>
      <c r="B200" s="18"/>
      <c r="C200" s="28"/>
      <c r="D200" s="27"/>
      <c r="E200" s="4" t="str">
        <f xml:space="preserve">  InpC!E$28</f>
        <v>Fixed Operating Cost Growth Rate escalation frequency</v>
      </c>
      <c r="F200" s="4">
        <f xml:space="preserve">  InpC!F$28</f>
        <v>3</v>
      </c>
      <c r="G200" s="4" t="str">
        <f xml:space="preserve">  InpC!G$28</f>
        <v>Months</v>
      </c>
      <c r="M200" s="2"/>
    </row>
    <row r="201" spans="1:69" outlineLevel="2">
      <c r="A201" s="18"/>
      <c r="B201" s="18"/>
      <c r="C201" s="28"/>
      <c r="D201" s="27"/>
      <c r="E201" s="4" t="str">
        <f xml:space="preserve">  InpC!E$100</f>
        <v>Months per period (Primary)</v>
      </c>
      <c r="F201" s="4">
        <f xml:space="preserve">  InpC!F$100</f>
        <v>1</v>
      </c>
      <c r="G201" s="4" t="str">
        <f xml:space="preserve">  InpC!G$100</f>
        <v>Months</v>
      </c>
      <c r="M201" s="2"/>
    </row>
    <row r="202" spans="1:69" outlineLevel="2">
      <c r="E202" s="5" t="str">
        <f t="shared" ref="E202:BQ202" si="87" xml:space="preserve">  E$28</f>
        <v>Period number</v>
      </c>
      <c r="F202" s="5">
        <f t="shared" si="87"/>
        <v>0</v>
      </c>
      <c r="G202" s="5" t="str">
        <f t="shared" si="87"/>
        <v>Counter</v>
      </c>
      <c r="H202" s="5">
        <f t="shared" si="87"/>
        <v>0</v>
      </c>
      <c r="I202" s="5">
        <f t="shared" si="87"/>
        <v>0</v>
      </c>
      <c r="J202" s="5">
        <f t="shared" si="87"/>
        <v>1</v>
      </c>
      <c r="K202" s="5">
        <f t="shared" si="87"/>
        <v>2</v>
      </c>
      <c r="L202" s="5">
        <f t="shared" si="87"/>
        <v>3</v>
      </c>
      <c r="M202" s="5">
        <f t="shared" si="87"/>
        <v>4</v>
      </c>
      <c r="N202" s="5">
        <f t="shared" si="87"/>
        <v>5</v>
      </c>
      <c r="O202" s="5">
        <f t="shared" si="87"/>
        <v>6</v>
      </c>
      <c r="P202" s="5">
        <f t="shared" si="87"/>
        <v>7</v>
      </c>
      <c r="Q202" s="5">
        <f t="shared" si="87"/>
        <v>8</v>
      </c>
      <c r="R202" s="5">
        <f t="shared" si="87"/>
        <v>9</v>
      </c>
      <c r="S202" s="5">
        <f t="shared" si="87"/>
        <v>10</v>
      </c>
      <c r="T202" s="5">
        <f t="shared" si="87"/>
        <v>11</v>
      </c>
      <c r="U202" s="5">
        <f t="shared" si="87"/>
        <v>12</v>
      </c>
      <c r="V202" s="5">
        <f t="shared" si="87"/>
        <v>13</v>
      </c>
      <c r="W202" s="5">
        <f t="shared" si="87"/>
        <v>14</v>
      </c>
      <c r="X202" s="5">
        <f t="shared" si="87"/>
        <v>15</v>
      </c>
      <c r="Y202" s="5">
        <f t="shared" si="87"/>
        <v>16</v>
      </c>
      <c r="Z202" s="5">
        <f t="shared" si="87"/>
        <v>17</v>
      </c>
      <c r="AA202" s="5">
        <f t="shared" si="87"/>
        <v>18</v>
      </c>
      <c r="AB202" s="5">
        <f t="shared" si="87"/>
        <v>19</v>
      </c>
      <c r="AC202" s="5">
        <f t="shared" si="87"/>
        <v>20</v>
      </c>
      <c r="AD202" s="5">
        <f t="shared" si="87"/>
        <v>21</v>
      </c>
      <c r="AE202" s="5">
        <f t="shared" si="87"/>
        <v>22</v>
      </c>
      <c r="AF202" s="5">
        <f t="shared" si="87"/>
        <v>23</v>
      </c>
      <c r="AG202" s="5">
        <f t="shared" si="87"/>
        <v>24</v>
      </c>
      <c r="AH202" s="5">
        <f t="shared" si="87"/>
        <v>25</v>
      </c>
      <c r="AI202" s="5">
        <f t="shared" si="87"/>
        <v>26</v>
      </c>
      <c r="AJ202" s="5">
        <f t="shared" si="87"/>
        <v>27</v>
      </c>
      <c r="AK202" s="5">
        <f t="shared" si="87"/>
        <v>28</v>
      </c>
      <c r="AL202" s="5">
        <f t="shared" si="87"/>
        <v>29</v>
      </c>
      <c r="AM202" s="5">
        <f t="shared" si="87"/>
        <v>30</v>
      </c>
      <c r="AN202" s="5">
        <f t="shared" si="87"/>
        <v>31</v>
      </c>
      <c r="AO202" s="5">
        <f t="shared" si="87"/>
        <v>32</v>
      </c>
      <c r="AP202" s="5">
        <f t="shared" si="87"/>
        <v>33</v>
      </c>
      <c r="AQ202" s="5">
        <f t="shared" si="87"/>
        <v>34</v>
      </c>
      <c r="AR202" s="5">
        <f t="shared" si="87"/>
        <v>35</v>
      </c>
      <c r="AS202" s="5">
        <f t="shared" si="87"/>
        <v>36</v>
      </c>
      <c r="AT202" s="5">
        <f t="shared" si="87"/>
        <v>37</v>
      </c>
      <c r="AU202" s="5">
        <f t="shared" si="87"/>
        <v>38</v>
      </c>
      <c r="AV202" s="5">
        <f t="shared" si="87"/>
        <v>39</v>
      </c>
      <c r="AW202" s="5">
        <f t="shared" si="87"/>
        <v>40</v>
      </c>
      <c r="AX202" s="5">
        <f t="shared" si="87"/>
        <v>41</v>
      </c>
      <c r="AY202" s="5">
        <f t="shared" si="87"/>
        <v>42</v>
      </c>
      <c r="AZ202" s="5">
        <f t="shared" si="87"/>
        <v>43</v>
      </c>
      <c r="BA202" s="5">
        <f t="shared" si="87"/>
        <v>44</v>
      </c>
      <c r="BB202" s="5">
        <f t="shared" si="87"/>
        <v>45</v>
      </c>
      <c r="BC202" s="5">
        <f t="shared" si="87"/>
        <v>46</v>
      </c>
      <c r="BD202" s="5">
        <f t="shared" si="87"/>
        <v>47</v>
      </c>
      <c r="BE202" s="5">
        <f t="shared" si="87"/>
        <v>48</v>
      </c>
      <c r="BF202" s="5">
        <f t="shared" si="87"/>
        <v>49</v>
      </c>
      <c r="BG202" s="5">
        <f t="shared" si="87"/>
        <v>50</v>
      </c>
      <c r="BH202" s="5">
        <f t="shared" si="87"/>
        <v>51</v>
      </c>
      <c r="BI202" s="5">
        <f t="shared" si="87"/>
        <v>52</v>
      </c>
      <c r="BJ202" s="5">
        <f t="shared" si="87"/>
        <v>53</v>
      </c>
      <c r="BK202" s="5">
        <f t="shared" si="87"/>
        <v>54</v>
      </c>
      <c r="BL202" s="5">
        <f t="shared" si="87"/>
        <v>55</v>
      </c>
      <c r="BM202" s="5">
        <f t="shared" si="87"/>
        <v>56</v>
      </c>
      <c r="BN202" s="5">
        <f t="shared" si="87"/>
        <v>57</v>
      </c>
      <c r="BO202" s="5">
        <f t="shared" si="87"/>
        <v>58</v>
      </c>
      <c r="BP202" s="5">
        <f t="shared" si="87"/>
        <v>59</v>
      </c>
      <c r="BQ202" s="5">
        <f t="shared" si="87"/>
        <v>60</v>
      </c>
    </row>
    <row r="203" spans="1:69" outlineLevel="2">
      <c r="E203" s="2" t="str">
        <f t="shared" ref="E203:BQ203" si="88" xml:space="preserve">  E$177</f>
        <v>Fixed Operating Cost Growth Rate escalation duration flag</v>
      </c>
      <c r="F203" s="2">
        <f t="shared" si="88"/>
        <v>0</v>
      </c>
      <c r="G203" s="2" t="str">
        <f t="shared" si="88"/>
        <v>flag</v>
      </c>
      <c r="H203" s="2">
        <f t="shared" si="88"/>
        <v>60</v>
      </c>
      <c r="I203" s="2">
        <f t="shared" si="88"/>
        <v>0</v>
      </c>
      <c r="J203" s="2">
        <f t="shared" si="88"/>
        <v>1</v>
      </c>
      <c r="K203" s="2">
        <f t="shared" si="88"/>
        <v>1</v>
      </c>
      <c r="L203" s="2">
        <f t="shared" si="88"/>
        <v>1</v>
      </c>
      <c r="M203" s="2">
        <f t="shared" si="88"/>
        <v>1</v>
      </c>
      <c r="N203" s="2">
        <f t="shared" si="88"/>
        <v>1</v>
      </c>
      <c r="O203" s="2">
        <f t="shared" si="88"/>
        <v>1</v>
      </c>
      <c r="P203" s="2">
        <f t="shared" si="88"/>
        <v>1</v>
      </c>
      <c r="Q203" s="2">
        <f t="shared" si="88"/>
        <v>1</v>
      </c>
      <c r="R203" s="2">
        <f t="shared" si="88"/>
        <v>1</v>
      </c>
      <c r="S203" s="2">
        <f t="shared" si="88"/>
        <v>1</v>
      </c>
      <c r="T203" s="2">
        <f t="shared" si="88"/>
        <v>1</v>
      </c>
      <c r="U203" s="2">
        <f t="shared" si="88"/>
        <v>1</v>
      </c>
      <c r="V203" s="2">
        <f t="shared" si="88"/>
        <v>1</v>
      </c>
      <c r="W203" s="2">
        <f t="shared" si="88"/>
        <v>1</v>
      </c>
      <c r="X203" s="2">
        <f t="shared" si="88"/>
        <v>1</v>
      </c>
      <c r="Y203" s="2">
        <f t="shared" si="88"/>
        <v>1</v>
      </c>
      <c r="Z203" s="2">
        <f t="shared" si="88"/>
        <v>1</v>
      </c>
      <c r="AA203" s="2">
        <f t="shared" si="88"/>
        <v>1</v>
      </c>
      <c r="AB203" s="2">
        <f t="shared" si="88"/>
        <v>1</v>
      </c>
      <c r="AC203" s="2">
        <f t="shared" si="88"/>
        <v>1</v>
      </c>
      <c r="AD203" s="2">
        <f t="shared" si="88"/>
        <v>1</v>
      </c>
      <c r="AE203" s="2">
        <f t="shared" si="88"/>
        <v>1</v>
      </c>
      <c r="AF203" s="2">
        <f t="shared" si="88"/>
        <v>1</v>
      </c>
      <c r="AG203" s="2">
        <f t="shared" si="88"/>
        <v>1</v>
      </c>
      <c r="AH203" s="2">
        <f t="shared" si="88"/>
        <v>1</v>
      </c>
      <c r="AI203" s="2">
        <f t="shared" si="88"/>
        <v>1</v>
      </c>
      <c r="AJ203" s="2">
        <f t="shared" si="88"/>
        <v>1</v>
      </c>
      <c r="AK203" s="2">
        <f t="shared" si="88"/>
        <v>1</v>
      </c>
      <c r="AL203" s="2">
        <f t="shared" si="88"/>
        <v>1</v>
      </c>
      <c r="AM203" s="2">
        <f t="shared" si="88"/>
        <v>1</v>
      </c>
      <c r="AN203" s="2">
        <f t="shared" si="88"/>
        <v>1</v>
      </c>
      <c r="AO203" s="2">
        <f t="shared" si="88"/>
        <v>1</v>
      </c>
      <c r="AP203" s="2">
        <f t="shared" si="88"/>
        <v>1</v>
      </c>
      <c r="AQ203" s="2">
        <f t="shared" si="88"/>
        <v>1</v>
      </c>
      <c r="AR203" s="2">
        <f t="shared" si="88"/>
        <v>1</v>
      </c>
      <c r="AS203" s="2">
        <f t="shared" si="88"/>
        <v>1</v>
      </c>
      <c r="AT203" s="2">
        <f t="shared" si="88"/>
        <v>1</v>
      </c>
      <c r="AU203" s="2">
        <f t="shared" si="88"/>
        <v>1</v>
      </c>
      <c r="AV203" s="2">
        <f t="shared" si="88"/>
        <v>1</v>
      </c>
      <c r="AW203" s="2">
        <f t="shared" si="88"/>
        <v>1</v>
      </c>
      <c r="AX203" s="2">
        <f t="shared" si="88"/>
        <v>1</v>
      </c>
      <c r="AY203" s="2">
        <f t="shared" si="88"/>
        <v>1</v>
      </c>
      <c r="AZ203" s="2">
        <f t="shared" si="88"/>
        <v>1</v>
      </c>
      <c r="BA203" s="2">
        <f t="shared" si="88"/>
        <v>1</v>
      </c>
      <c r="BB203" s="2">
        <f t="shared" si="88"/>
        <v>1</v>
      </c>
      <c r="BC203" s="2">
        <f t="shared" si="88"/>
        <v>1</v>
      </c>
      <c r="BD203" s="2">
        <f t="shared" si="88"/>
        <v>1</v>
      </c>
      <c r="BE203" s="2">
        <f t="shared" si="88"/>
        <v>1</v>
      </c>
      <c r="BF203" s="2">
        <f t="shared" si="88"/>
        <v>1</v>
      </c>
      <c r="BG203" s="2">
        <f t="shared" si="88"/>
        <v>1</v>
      </c>
      <c r="BH203" s="2">
        <f t="shared" si="88"/>
        <v>1</v>
      </c>
      <c r="BI203" s="2">
        <f t="shared" si="88"/>
        <v>1</v>
      </c>
      <c r="BJ203" s="2">
        <f t="shared" si="88"/>
        <v>1</v>
      </c>
      <c r="BK203" s="2">
        <f t="shared" si="88"/>
        <v>1</v>
      </c>
      <c r="BL203" s="2">
        <f t="shared" si="88"/>
        <v>1</v>
      </c>
      <c r="BM203" s="2">
        <f t="shared" si="88"/>
        <v>1</v>
      </c>
      <c r="BN203" s="2">
        <f t="shared" si="88"/>
        <v>1</v>
      </c>
      <c r="BO203" s="2">
        <f t="shared" si="88"/>
        <v>1</v>
      </c>
      <c r="BP203" s="2">
        <f t="shared" si="88"/>
        <v>1</v>
      </c>
      <c r="BQ203" s="2">
        <f t="shared" si="88"/>
        <v>1</v>
      </c>
    </row>
    <row r="204" spans="1:69" outlineLevel="2">
      <c r="E204" s="47" t="s">
        <v>128</v>
      </c>
      <c r="G204" s="47" t="s">
        <v>20</v>
      </c>
      <c r="H204" s="2">
        <f xml:space="preserve"> SUM( J204:BQ204 )</f>
        <v>20</v>
      </c>
      <c r="J204" s="2">
        <f t="shared" ref="J204:BQ204" si="89" xml:space="preserve">  IF( MOD( J202 - $F199, $F200 / $F201 ) = 0, 1, 0 ) * J203</f>
        <v>1</v>
      </c>
      <c r="K204" s="2">
        <f t="shared" si="89"/>
        <v>0</v>
      </c>
      <c r="L204" s="2">
        <f t="shared" si="89"/>
        <v>0</v>
      </c>
      <c r="M204" s="2">
        <f t="shared" si="89"/>
        <v>1</v>
      </c>
      <c r="N204" s="2">
        <f t="shared" si="89"/>
        <v>0</v>
      </c>
      <c r="O204" s="2">
        <f t="shared" si="89"/>
        <v>0</v>
      </c>
      <c r="P204" s="2">
        <f t="shared" si="89"/>
        <v>1</v>
      </c>
      <c r="Q204" s="2">
        <f t="shared" si="89"/>
        <v>0</v>
      </c>
      <c r="R204" s="2">
        <f t="shared" si="89"/>
        <v>0</v>
      </c>
      <c r="S204" s="2">
        <f t="shared" si="89"/>
        <v>1</v>
      </c>
      <c r="T204" s="2">
        <f t="shared" si="89"/>
        <v>0</v>
      </c>
      <c r="U204" s="2">
        <f t="shared" si="89"/>
        <v>0</v>
      </c>
      <c r="V204" s="2">
        <f t="shared" si="89"/>
        <v>1</v>
      </c>
      <c r="W204" s="2">
        <f t="shared" si="89"/>
        <v>0</v>
      </c>
      <c r="X204" s="2">
        <f t="shared" si="89"/>
        <v>0</v>
      </c>
      <c r="Y204" s="2">
        <f t="shared" si="89"/>
        <v>1</v>
      </c>
      <c r="Z204" s="2">
        <f t="shared" si="89"/>
        <v>0</v>
      </c>
      <c r="AA204" s="2">
        <f t="shared" si="89"/>
        <v>0</v>
      </c>
      <c r="AB204" s="2">
        <f t="shared" si="89"/>
        <v>1</v>
      </c>
      <c r="AC204" s="2">
        <f t="shared" si="89"/>
        <v>0</v>
      </c>
      <c r="AD204" s="2">
        <f t="shared" si="89"/>
        <v>0</v>
      </c>
      <c r="AE204" s="2">
        <f t="shared" si="89"/>
        <v>1</v>
      </c>
      <c r="AF204" s="2">
        <f t="shared" si="89"/>
        <v>0</v>
      </c>
      <c r="AG204" s="2">
        <f t="shared" si="89"/>
        <v>0</v>
      </c>
      <c r="AH204" s="2">
        <f t="shared" si="89"/>
        <v>1</v>
      </c>
      <c r="AI204" s="2">
        <f t="shared" si="89"/>
        <v>0</v>
      </c>
      <c r="AJ204" s="2">
        <f t="shared" si="89"/>
        <v>0</v>
      </c>
      <c r="AK204" s="2">
        <f t="shared" si="89"/>
        <v>1</v>
      </c>
      <c r="AL204" s="2">
        <f t="shared" si="89"/>
        <v>0</v>
      </c>
      <c r="AM204" s="2">
        <f t="shared" si="89"/>
        <v>0</v>
      </c>
      <c r="AN204" s="2">
        <f t="shared" si="89"/>
        <v>1</v>
      </c>
      <c r="AO204" s="2">
        <f t="shared" si="89"/>
        <v>0</v>
      </c>
      <c r="AP204" s="2">
        <f t="shared" si="89"/>
        <v>0</v>
      </c>
      <c r="AQ204" s="2">
        <f t="shared" si="89"/>
        <v>1</v>
      </c>
      <c r="AR204" s="2">
        <f t="shared" si="89"/>
        <v>0</v>
      </c>
      <c r="AS204" s="2">
        <f t="shared" si="89"/>
        <v>0</v>
      </c>
      <c r="AT204" s="2">
        <f t="shared" si="89"/>
        <v>1</v>
      </c>
      <c r="AU204" s="2">
        <f t="shared" si="89"/>
        <v>0</v>
      </c>
      <c r="AV204" s="2">
        <f t="shared" si="89"/>
        <v>0</v>
      </c>
      <c r="AW204" s="2">
        <f t="shared" si="89"/>
        <v>1</v>
      </c>
      <c r="AX204" s="2">
        <f t="shared" si="89"/>
        <v>0</v>
      </c>
      <c r="AY204" s="2">
        <f t="shared" si="89"/>
        <v>0</v>
      </c>
      <c r="AZ204" s="2">
        <f t="shared" si="89"/>
        <v>1</v>
      </c>
      <c r="BA204" s="2">
        <f t="shared" si="89"/>
        <v>0</v>
      </c>
      <c r="BB204" s="2">
        <f t="shared" si="89"/>
        <v>0</v>
      </c>
      <c r="BC204" s="2">
        <f t="shared" si="89"/>
        <v>1</v>
      </c>
      <c r="BD204" s="2">
        <f t="shared" si="89"/>
        <v>0</v>
      </c>
      <c r="BE204" s="2">
        <f t="shared" si="89"/>
        <v>0</v>
      </c>
      <c r="BF204" s="2">
        <f t="shared" si="89"/>
        <v>1</v>
      </c>
      <c r="BG204" s="2">
        <f t="shared" si="89"/>
        <v>0</v>
      </c>
      <c r="BH204" s="2">
        <f t="shared" si="89"/>
        <v>0</v>
      </c>
      <c r="BI204" s="2">
        <f t="shared" si="89"/>
        <v>1</v>
      </c>
      <c r="BJ204" s="2">
        <f t="shared" si="89"/>
        <v>0</v>
      </c>
      <c r="BK204" s="2">
        <f t="shared" si="89"/>
        <v>0</v>
      </c>
      <c r="BL204" s="2">
        <f t="shared" si="89"/>
        <v>1</v>
      </c>
      <c r="BM204" s="2">
        <f t="shared" si="89"/>
        <v>0</v>
      </c>
      <c r="BN204" s="2">
        <f t="shared" si="89"/>
        <v>0</v>
      </c>
      <c r="BO204" s="2">
        <f t="shared" si="89"/>
        <v>1</v>
      </c>
      <c r="BP204" s="2">
        <f t="shared" si="89"/>
        <v>0</v>
      </c>
      <c r="BQ204" s="2">
        <f t="shared" si="89"/>
        <v>0</v>
      </c>
    </row>
    <row r="205" spans="1:69" outlineLevel="1"/>
    <row r="206" spans="1:69" outlineLevel="1"/>
    <row r="207" spans="1:69" outlineLevel="1">
      <c r="B207" s="25" t="s">
        <v>217</v>
      </c>
    </row>
    <row r="208" spans="1:69" outlineLevel="2">
      <c r="A208" s="18"/>
      <c r="B208" s="18"/>
      <c r="C208" s="28"/>
      <c r="D208" s="27"/>
      <c r="E208" s="20" t="str">
        <f xml:space="preserve">  InpC!E$102</f>
        <v>Start date</v>
      </c>
      <c r="F208" s="20">
        <f xml:space="preserve">  InpC!F$102</f>
        <v>45047</v>
      </c>
      <c r="G208" s="20" t="str">
        <f xml:space="preserve">  InpC!G$102</f>
        <v>date</v>
      </c>
      <c r="M208" s="8"/>
    </row>
    <row r="209" spans="1:69" outlineLevel="2">
      <c r="E209" s="8" t="str">
        <f t="shared" ref="E209:BQ209" si="90" xml:space="preserve">  E$19</f>
        <v>Model period end</v>
      </c>
      <c r="F209" s="8">
        <f t="shared" si="90"/>
        <v>0</v>
      </c>
      <c r="G209" s="8" t="str">
        <f t="shared" si="90"/>
        <v>date</v>
      </c>
      <c r="H209" s="8">
        <f t="shared" si="90"/>
        <v>0</v>
      </c>
      <c r="I209" s="8">
        <f t="shared" si="90"/>
        <v>0</v>
      </c>
      <c r="J209" s="8">
        <f t="shared" si="90"/>
        <v>45077</v>
      </c>
      <c r="K209" s="8">
        <f t="shared" si="90"/>
        <v>45107</v>
      </c>
      <c r="L209" s="8">
        <f t="shared" si="90"/>
        <v>45138</v>
      </c>
      <c r="M209" s="8">
        <f t="shared" si="90"/>
        <v>45169</v>
      </c>
      <c r="N209" s="8">
        <f t="shared" si="90"/>
        <v>45199</v>
      </c>
      <c r="O209" s="8">
        <f t="shared" si="90"/>
        <v>45230</v>
      </c>
      <c r="P209" s="8">
        <f t="shared" si="90"/>
        <v>45260</v>
      </c>
      <c r="Q209" s="8">
        <f t="shared" si="90"/>
        <v>45291</v>
      </c>
      <c r="R209" s="8">
        <f t="shared" si="90"/>
        <v>45322</v>
      </c>
      <c r="S209" s="8">
        <f t="shared" si="90"/>
        <v>45351</v>
      </c>
      <c r="T209" s="8">
        <f t="shared" si="90"/>
        <v>45382</v>
      </c>
      <c r="U209" s="8">
        <f t="shared" si="90"/>
        <v>45412</v>
      </c>
      <c r="V209" s="8">
        <f t="shared" si="90"/>
        <v>45443</v>
      </c>
      <c r="W209" s="8">
        <f t="shared" si="90"/>
        <v>45473</v>
      </c>
      <c r="X209" s="8">
        <f t="shared" si="90"/>
        <v>45504</v>
      </c>
      <c r="Y209" s="8">
        <f t="shared" si="90"/>
        <v>45535</v>
      </c>
      <c r="Z209" s="8">
        <f t="shared" si="90"/>
        <v>45565</v>
      </c>
      <c r="AA209" s="8">
        <f t="shared" si="90"/>
        <v>45596</v>
      </c>
      <c r="AB209" s="8">
        <f t="shared" si="90"/>
        <v>45626</v>
      </c>
      <c r="AC209" s="8">
        <f t="shared" si="90"/>
        <v>45657</v>
      </c>
      <c r="AD209" s="8">
        <f t="shared" si="90"/>
        <v>45688</v>
      </c>
      <c r="AE209" s="8">
        <f t="shared" si="90"/>
        <v>45716</v>
      </c>
      <c r="AF209" s="8">
        <f t="shared" si="90"/>
        <v>45747</v>
      </c>
      <c r="AG209" s="8">
        <f t="shared" si="90"/>
        <v>45777</v>
      </c>
      <c r="AH209" s="8">
        <f t="shared" si="90"/>
        <v>45808</v>
      </c>
      <c r="AI209" s="8">
        <f t="shared" si="90"/>
        <v>45838</v>
      </c>
      <c r="AJ209" s="8">
        <f t="shared" si="90"/>
        <v>45869</v>
      </c>
      <c r="AK209" s="8">
        <f t="shared" si="90"/>
        <v>45900</v>
      </c>
      <c r="AL209" s="8">
        <f t="shared" si="90"/>
        <v>45930</v>
      </c>
      <c r="AM209" s="8">
        <f t="shared" si="90"/>
        <v>45961</v>
      </c>
      <c r="AN209" s="8">
        <f t="shared" si="90"/>
        <v>45991</v>
      </c>
      <c r="AO209" s="8">
        <f t="shared" si="90"/>
        <v>46022</v>
      </c>
      <c r="AP209" s="8">
        <f t="shared" si="90"/>
        <v>46053</v>
      </c>
      <c r="AQ209" s="8">
        <f t="shared" si="90"/>
        <v>46081</v>
      </c>
      <c r="AR209" s="8">
        <f t="shared" si="90"/>
        <v>46112</v>
      </c>
      <c r="AS209" s="8">
        <f t="shared" si="90"/>
        <v>46142</v>
      </c>
      <c r="AT209" s="8">
        <f t="shared" si="90"/>
        <v>46173</v>
      </c>
      <c r="AU209" s="8">
        <f t="shared" si="90"/>
        <v>46203</v>
      </c>
      <c r="AV209" s="8">
        <f t="shared" si="90"/>
        <v>46234</v>
      </c>
      <c r="AW209" s="8">
        <f t="shared" si="90"/>
        <v>46265</v>
      </c>
      <c r="AX209" s="8">
        <f t="shared" si="90"/>
        <v>46295</v>
      </c>
      <c r="AY209" s="8">
        <f t="shared" si="90"/>
        <v>46326</v>
      </c>
      <c r="AZ209" s="8">
        <f t="shared" si="90"/>
        <v>46356</v>
      </c>
      <c r="BA209" s="8">
        <f t="shared" si="90"/>
        <v>46387</v>
      </c>
      <c r="BB209" s="8">
        <f t="shared" si="90"/>
        <v>46418</v>
      </c>
      <c r="BC209" s="8">
        <f t="shared" si="90"/>
        <v>46446</v>
      </c>
      <c r="BD209" s="8">
        <f t="shared" si="90"/>
        <v>46477</v>
      </c>
      <c r="BE209" s="8">
        <f t="shared" si="90"/>
        <v>46507</v>
      </c>
      <c r="BF209" s="8">
        <f t="shared" si="90"/>
        <v>46538</v>
      </c>
      <c r="BG209" s="8">
        <f t="shared" si="90"/>
        <v>46568</v>
      </c>
      <c r="BH209" s="8">
        <f t="shared" si="90"/>
        <v>46599</v>
      </c>
      <c r="BI209" s="8">
        <f t="shared" si="90"/>
        <v>46630</v>
      </c>
      <c r="BJ209" s="8">
        <f t="shared" si="90"/>
        <v>46660</v>
      </c>
      <c r="BK209" s="8">
        <f t="shared" si="90"/>
        <v>46691</v>
      </c>
      <c r="BL209" s="8">
        <f t="shared" si="90"/>
        <v>46721</v>
      </c>
      <c r="BM209" s="8">
        <f t="shared" si="90"/>
        <v>46752</v>
      </c>
      <c r="BN209" s="8">
        <f t="shared" si="90"/>
        <v>46783</v>
      </c>
      <c r="BO209" s="8">
        <f t="shared" si="90"/>
        <v>46812</v>
      </c>
      <c r="BP209" s="8">
        <f t="shared" si="90"/>
        <v>46843</v>
      </c>
      <c r="BQ209" s="8">
        <f t="shared" si="90"/>
        <v>46873</v>
      </c>
    </row>
    <row r="210" spans="1:69" outlineLevel="2">
      <c r="E210" s="2" t="str">
        <f t="shared" ref="E210:BQ210" si="91" xml:space="preserve">  E$204</f>
        <v>Fixed Operating Cost Growth Rate escalation step up frequency flag</v>
      </c>
      <c r="F210" s="2">
        <f t="shared" si="91"/>
        <v>0</v>
      </c>
      <c r="G210" s="2" t="str">
        <f t="shared" si="91"/>
        <v>flag</v>
      </c>
      <c r="H210" s="2">
        <f t="shared" si="91"/>
        <v>20</v>
      </c>
      <c r="I210" s="2">
        <f t="shared" si="91"/>
        <v>0</v>
      </c>
      <c r="J210" s="2">
        <f t="shared" si="91"/>
        <v>1</v>
      </c>
      <c r="K210" s="2">
        <f t="shared" si="91"/>
        <v>0</v>
      </c>
      <c r="L210" s="2">
        <f t="shared" si="91"/>
        <v>0</v>
      </c>
      <c r="M210" s="2">
        <f t="shared" si="91"/>
        <v>1</v>
      </c>
      <c r="N210" s="2">
        <f t="shared" si="91"/>
        <v>0</v>
      </c>
      <c r="O210" s="2">
        <f t="shared" si="91"/>
        <v>0</v>
      </c>
      <c r="P210" s="2">
        <f t="shared" si="91"/>
        <v>1</v>
      </c>
      <c r="Q210" s="2">
        <f t="shared" si="91"/>
        <v>0</v>
      </c>
      <c r="R210" s="2">
        <f t="shared" si="91"/>
        <v>0</v>
      </c>
      <c r="S210" s="2">
        <f t="shared" si="91"/>
        <v>1</v>
      </c>
      <c r="T210" s="2">
        <f t="shared" si="91"/>
        <v>0</v>
      </c>
      <c r="U210" s="2">
        <f t="shared" si="91"/>
        <v>0</v>
      </c>
      <c r="V210" s="2">
        <f t="shared" si="91"/>
        <v>1</v>
      </c>
      <c r="W210" s="2">
        <f t="shared" si="91"/>
        <v>0</v>
      </c>
      <c r="X210" s="2">
        <f t="shared" si="91"/>
        <v>0</v>
      </c>
      <c r="Y210" s="2">
        <f t="shared" si="91"/>
        <v>1</v>
      </c>
      <c r="Z210" s="2">
        <f t="shared" si="91"/>
        <v>0</v>
      </c>
      <c r="AA210" s="2">
        <f t="shared" si="91"/>
        <v>0</v>
      </c>
      <c r="AB210" s="2">
        <f t="shared" si="91"/>
        <v>1</v>
      </c>
      <c r="AC210" s="2">
        <f t="shared" si="91"/>
        <v>0</v>
      </c>
      <c r="AD210" s="2">
        <f t="shared" si="91"/>
        <v>0</v>
      </c>
      <c r="AE210" s="2">
        <f t="shared" si="91"/>
        <v>1</v>
      </c>
      <c r="AF210" s="2">
        <f t="shared" si="91"/>
        <v>0</v>
      </c>
      <c r="AG210" s="2">
        <f t="shared" si="91"/>
        <v>0</v>
      </c>
      <c r="AH210" s="2">
        <f t="shared" si="91"/>
        <v>1</v>
      </c>
      <c r="AI210" s="2">
        <f t="shared" si="91"/>
        <v>0</v>
      </c>
      <c r="AJ210" s="2">
        <f t="shared" si="91"/>
        <v>0</v>
      </c>
      <c r="AK210" s="2">
        <f t="shared" si="91"/>
        <v>1</v>
      </c>
      <c r="AL210" s="2">
        <f t="shared" si="91"/>
        <v>0</v>
      </c>
      <c r="AM210" s="2">
        <f t="shared" si="91"/>
        <v>0</v>
      </c>
      <c r="AN210" s="2">
        <f t="shared" si="91"/>
        <v>1</v>
      </c>
      <c r="AO210" s="2">
        <f t="shared" si="91"/>
        <v>0</v>
      </c>
      <c r="AP210" s="2">
        <f t="shared" si="91"/>
        <v>0</v>
      </c>
      <c r="AQ210" s="2">
        <f t="shared" si="91"/>
        <v>1</v>
      </c>
      <c r="AR210" s="2">
        <f t="shared" si="91"/>
        <v>0</v>
      </c>
      <c r="AS210" s="2">
        <f t="shared" si="91"/>
        <v>0</v>
      </c>
      <c r="AT210" s="2">
        <f t="shared" si="91"/>
        <v>1</v>
      </c>
      <c r="AU210" s="2">
        <f t="shared" si="91"/>
        <v>0</v>
      </c>
      <c r="AV210" s="2">
        <f t="shared" si="91"/>
        <v>0</v>
      </c>
      <c r="AW210" s="2">
        <f t="shared" si="91"/>
        <v>1</v>
      </c>
      <c r="AX210" s="2">
        <f t="shared" si="91"/>
        <v>0</v>
      </c>
      <c r="AY210" s="2">
        <f t="shared" si="91"/>
        <v>0</v>
      </c>
      <c r="AZ210" s="2">
        <f t="shared" si="91"/>
        <v>1</v>
      </c>
      <c r="BA210" s="2">
        <f t="shared" si="91"/>
        <v>0</v>
      </c>
      <c r="BB210" s="2">
        <f t="shared" si="91"/>
        <v>0</v>
      </c>
      <c r="BC210" s="2">
        <f t="shared" si="91"/>
        <v>1</v>
      </c>
      <c r="BD210" s="2">
        <f t="shared" si="91"/>
        <v>0</v>
      </c>
      <c r="BE210" s="2">
        <f t="shared" si="91"/>
        <v>0</v>
      </c>
      <c r="BF210" s="2">
        <f t="shared" si="91"/>
        <v>1</v>
      </c>
      <c r="BG210" s="2">
        <f t="shared" si="91"/>
        <v>0</v>
      </c>
      <c r="BH210" s="2">
        <f t="shared" si="91"/>
        <v>0</v>
      </c>
      <c r="BI210" s="2">
        <f t="shared" si="91"/>
        <v>1</v>
      </c>
      <c r="BJ210" s="2">
        <f t="shared" si="91"/>
        <v>0</v>
      </c>
      <c r="BK210" s="2">
        <f t="shared" si="91"/>
        <v>0</v>
      </c>
      <c r="BL210" s="2">
        <f t="shared" si="91"/>
        <v>1</v>
      </c>
      <c r="BM210" s="2">
        <f t="shared" si="91"/>
        <v>0</v>
      </c>
      <c r="BN210" s="2">
        <f t="shared" si="91"/>
        <v>0</v>
      </c>
      <c r="BO210" s="2">
        <f t="shared" si="91"/>
        <v>1</v>
      </c>
      <c r="BP210" s="2">
        <f t="shared" si="91"/>
        <v>0</v>
      </c>
      <c r="BQ210" s="2">
        <f t="shared" si="91"/>
        <v>0</v>
      </c>
    </row>
    <row r="211" spans="1:69" outlineLevel="2">
      <c r="E211" s="47" t="s">
        <v>217</v>
      </c>
      <c r="G211" s="47" t="s">
        <v>214</v>
      </c>
      <c r="J211" s="8">
        <f t="shared" ref="J211:BQ211" si="92" xml:space="preserve">  DATE( YEAR( J209 ), MONTH( J209 ), DAY( $F208 ) ) * J210</f>
        <v>45047</v>
      </c>
      <c r="K211" s="8">
        <f t="shared" si="92"/>
        <v>0</v>
      </c>
      <c r="L211" s="8">
        <f t="shared" si="92"/>
        <v>0</v>
      </c>
      <c r="M211" s="8">
        <f t="shared" si="92"/>
        <v>45139</v>
      </c>
      <c r="N211" s="8">
        <f t="shared" si="92"/>
        <v>0</v>
      </c>
      <c r="O211" s="8">
        <f t="shared" si="92"/>
        <v>0</v>
      </c>
      <c r="P211" s="8">
        <f t="shared" si="92"/>
        <v>45231</v>
      </c>
      <c r="Q211" s="8">
        <f t="shared" si="92"/>
        <v>0</v>
      </c>
      <c r="R211" s="8">
        <f t="shared" si="92"/>
        <v>0</v>
      </c>
      <c r="S211" s="8">
        <f t="shared" si="92"/>
        <v>45323</v>
      </c>
      <c r="T211" s="8">
        <f t="shared" si="92"/>
        <v>0</v>
      </c>
      <c r="U211" s="8">
        <f t="shared" si="92"/>
        <v>0</v>
      </c>
      <c r="V211" s="8">
        <f t="shared" si="92"/>
        <v>45413</v>
      </c>
      <c r="W211" s="8">
        <f t="shared" si="92"/>
        <v>0</v>
      </c>
      <c r="X211" s="8">
        <f t="shared" si="92"/>
        <v>0</v>
      </c>
      <c r="Y211" s="8">
        <f t="shared" si="92"/>
        <v>45505</v>
      </c>
      <c r="Z211" s="8">
        <f t="shared" si="92"/>
        <v>0</v>
      </c>
      <c r="AA211" s="8">
        <f t="shared" si="92"/>
        <v>0</v>
      </c>
      <c r="AB211" s="8">
        <f t="shared" si="92"/>
        <v>45597</v>
      </c>
      <c r="AC211" s="8">
        <f t="shared" si="92"/>
        <v>0</v>
      </c>
      <c r="AD211" s="8">
        <f t="shared" si="92"/>
        <v>0</v>
      </c>
      <c r="AE211" s="8">
        <f t="shared" si="92"/>
        <v>45689</v>
      </c>
      <c r="AF211" s="8">
        <f t="shared" si="92"/>
        <v>0</v>
      </c>
      <c r="AG211" s="8">
        <f t="shared" si="92"/>
        <v>0</v>
      </c>
      <c r="AH211" s="8">
        <f t="shared" si="92"/>
        <v>45778</v>
      </c>
      <c r="AI211" s="8">
        <f t="shared" si="92"/>
        <v>0</v>
      </c>
      <c r="AJ211" s="8">
        <f t="shared" si="92"/>
        <v>0</v>
      </c>
      <c r="AK211" s="8">
        <f t="shared" si="92"/>
        <v>45870</v>
      </c>
      <c r="AL211" s="8">
        <f t="shared" si="92"/>
        <v>0</v>
      </c>
      <c r="AM211" s="8">
        <f t="shared" si="92"/>
        <v>0</v>
      </c>
      <c r="AN211" s="8">
        <f t="shared" si="92"/>
        <v>45962</v>
      </c>
      <c r="AO211" s="8">
        <f t="shared" si="92"/>
        <v>0</v>
      </c>
      <c r="AP211" s="8">
        <f t="shared" si="92"/>
        <v>0</v>
      </c>
      <c r="AQ211" s="8">
        <f t="shared" si="92"/>
        <v>46054</v>
      </c>
      <c r="AR211" s="8">
        <f t="shared" si="92"/>
        <v>0</v>
      </c>
      <c r="AS211" s="8">
        <f t="shared" si="92"/>
        <v>0</v>
      </c>
      <c r="AT211" s="8">
        <f t="shared" si="92"/>
        <v>46143</v>
      </c>
      <c r="AU211" s="8">
        <f t="shared" si="92"/>
        <v>0</v>
      </c>
      <c r="AV211" s="8">
        <f t="shared" si="92"/>
        <v>0</v>
      </c>
      <c r="AW211" s="8">
        <f t="shared" si="92"/>
        <v>46235</v>
      </c>
      <c r="AX211" s="8">
        <f t="shared" si="92"/>
        <v>0</v>
      </c>
      <c r="AY211" s="8">
        <f t="shared" si="92"/>
        <v>0</v>
      </c>
      <c r="AZ211" s="8">
        <f t="shared" si="92"/>
        <v>46327</v>
      </c>
      <c r="BA211" s="8">
        <f t="shared" si="92"/>
        <v>0</v>
      </c>
      <c r="BB211" s="8">
        <f t="shared" si="92"/>
        <v>0</v>
      </c>
      <c r="BC211" s="8">
        <f t="shared" si="92"/>
        <v>46419</v>
      </c>
      <c r="BD211" s="8">
        <f t="shared" si="92"/>
        <v>0</v>
      </c>
      <c r="BE211" s="8">
        <f t="shared" si="92"/>
        <v>0</v>
      </c>
      <c r="BF211" s="8">
        <f t="shared" si="92"/>
        <v>46508</v>
      </c>
      <c r="BG211" s="8">
        <f t="shared" si="92"/>
        <v>0</v>
      </c>
      <c r="BH211" s="8">
        <f t="shared" si="92"/>
        <v>0</v>
      </c>
      <c r="BI211" s="8">
        <f t="shared" si="92"/>
        <v>46600</v>
      </c>
      <c r="BJ211" s="8">
        <f t="shared" si="92"/>
        <v>0</v>
      </c>
      <c r="BK211" s="8">
        <f t="shared" si="92"/>
        <v>0</v>
      </c>
      <c r="BL211" s="8">
        <f t="shared" si="92"/>
        <v>46692</v>
      </c>
      <c r="BM211" s="8">
        <f t="shared" si="92"/>
        <v>0</v>
      </c>
      <c r="BN211" s="8">
        <f t="shared" si="92"/>
        <v>0</v>
      </c>
      <c r="BO211" s="8">
        <f t="shared" si="92"/>
        <v>46784</v>
      </c>
      <c r="BP211" s="8">
        <f t="shared" si="92"/>
        <v>0</v>
      </c>
      <c r="BQ211" s="8">
        <f t="shared" si="92"/>
        <v>0</v>
      </c>
    </row>
    <row r="212" spans="1:69" outlineLevel="1"/>
    <row r="213" spans="1:69" outlineLevel="1"/>
    <row r="214" spans="1:69" outlineLevel="1">
      <c r="B214" s="25" t="s">
        <v>242</v>
      </c>
    </row>
    <row r="215" spans="1:69" outlineLevel="2">
      <c r="A215" s="18"/>
      <c r="B215" s="18"/>
      <c r="C215" s="28"/>
      <c r="D215" s="27"/>
      <c r="E215" s="20" t="str">
        <f xml:space="preserve">  InpC!E$102</f>
        <v>Start date</v>
      </c>
      <c r="F215" s="20">
        <f xml:space="preserve">  InpC!F$102</f>
        <v>45047</v>
      </c>
      <c r="G215" s="20" t="str">
        <f xml:space="preserve">  InpC!G$102</f>
        <v>date</v>
      </c>
      <c r="M215" s="8"/>
    </row>
    <row r="216" spans="1:69" outlineLevel="2">
      <c r="E216" s="8" t="str">
        <f t="shared" ref="E216:BQ216" si="93" xml:space="preserve">  E$211</f>
        <v>Day in period Fixed Operating Cost Growth Rate escalation occurs</v>
      </c>
      <c r="F216" s="8">
        <f t="shared" si="93"/>
        <v>0</v>
      </c>
      <c r="G216" s="8" t="str">
        <f t="shared" si="93"/>
        <v>date</v>
      </c>
      <c r="H216" s="8">
        <f t="shared" si="93"/>
        <v>0</v>
      </c>
      <c r="I216" s="8">
        <f t="shared" si="93"/>
        <v>0</v>
      </c>
      <c r="J216" s="8">
        <f t="shared" si="93"/>
        <v>45047</v>
      </c>
      <c r="K216" s="8">
        <f t="shared" si="93"/>
        <v>0</v>
      </c>
      <c r="L216" s="8">
        <f t="shared" si="93"/>
        <v>0</v>
      </c>
      <c r="M216" s="8">
        <f t="shared" si="93"/>
        <v>45139</v>
      </c>
      <c r="N216" s="8">
        <f t="shared" si="93"/>
        <v>0</v>
      </c>
      <c r="O216" s="8">
        <f t="shared" si="93"/>
        <v>0</v>
      </c>
      <c r="P216" s="8">
        <f t="shared" si="93"/>
        <v>45231</v>
      </c>
      <c r="Q216" s="8">
        <f t="shared" si="93"/>
        <v>0</v>
      </c>
      <c r="R216" s="8">
        <f t="shared" si="93"/>
        <v>0</v>
      </c>
      <c r="S216" s="8">
        <f t="shared" si="93"/>
        <v>45323</v>
      </c>
      <c r="T216" s="8">
        <f t="shared" si="93"/>
        <v>0</v>
      </c>
      <c r="U216" s="8">
        <f t="shared" si="93"/>
        <v>0</v>
      </c>
      <c r="V216" s="8">
        <f t="shared" si="93"/>
        <v>45413</v>
      </c>
      <c r="W216" s="8">
        <f t="shared" si="93"/>
        <v>0</v>
      </c>
      <c r="X216" s="8">
        <f t="shared" si="93"/>
        <v>0</v>
      </c>
      <c r="Y216" s="8">
        <f t="shared" si="93"/>
        <v>45505</v>
      </c>
      <c r="Z216" s="8">
        <f t="shared" si="93"/>
        <v>0</v>
      </c>
      <c r="AA216" s="8">
        <f t="shared" si="93"/>
        <v>0</v>
      </c>
      <c r="AB216" s="8">
        <f t="shared" si="93"/>
        <v>45597</v>
      </c>
      <c r="AC216" s="8">
        <f t="shared" si="93"/>
        <v>0</v>
      </c>
      <c r="AD216" s="8">
        <f t="shared" si="93"/>
        <v>0</v>
      </c>
      <c r="AE216" s="8">
        <f t="shared" si="93"/>
        <v>45689</v>
      </c>
      <c r="AF216" s="8">
        <f t="shared" si="93"/>
        <v>0</v>
      </c>
      <c r="AG216" s="8">
        <f t="shared" si="93"/>
        <v>0</v>
      </c>
      <c r="AH216" s="8">
        <f t="shared" si="93"/>
        <v>45778</v>
      </c>
      <c r="AI216" s="8">
        <f t="shared" si="93"/>
        <v>0</v>
      </c>
      <c r="AJ216" s="8">
        <f t="shared" si="93"/>
        <v>0</v>
      </c>
      <c r="AK216" s="8">
        <f t="shared" si="93"/>
        <v>45870</v>
      </c>
      <c r="AL216" s="8">
        <f t="shared" si="93"/>
        <v>0</v>
      </c>
      <c r="AM216" s="8">
        <f t="shared" si="93"/>
        <v>0</v>
      </c>
      <c r="AN216" s="8">
        <f t="shared" si="93"/>
        <v>45962</v>
      </c>
      <c r="AO216" s="8">
        <f t="shared" si="93"/>
        <v>0</v>
      </c>
      <c r="AP216" s="8">
        <f t="shared" si="93"/>
        <v>0</v>
      </c>
      <c r="AQ216" s="8">
        <f t="shared" si="93"/>
        <v>46054</v>
      </c>
      <c r="AR216" s="8">
        <f t="shared" si="93"/>
        <v>0</v>
      </c>
      <c r="AS216" s="8">
        <f t="shared" si="93"/>
        <v>0</v>
      </c>
      <c r="AT216" s="8">
        <f t="shared" si="93"/>
        <v>46143</v>
      </c>
      <c r="AU216" s="8">
        <f t="shared" si="93"/>
        <v>0</v>
      </c>
      <c r="AV216" s="8">
        <f t="shared" si="93"/>
        <v>0</v>
      </c>
      <c r="AW216" s="8">
        <f t="shared" si="93"/>
        <v>46235</v>
      </c>
      <c r="AX216" s="8">
        <f t="shared" si="93"/>
        <v>0</v>
      </c>
      <c r="AY216" s="8">
        <f t="shared" si="93"/>
        <v>0</v>
      </c>
      <c r="AZ216" s="8">
        <f t="shared" si="93"/>
        <v>46327</v>
      </c>
      <c r="BA216" s="8">
        <f t="shared" si="93"/>
        <v>0</v>
      </c>
      <c r="BB216" s="8">
        <f t="shared" si="93"/>
        <v>0</v>
      </c>
      <c r="BC216" s="8">
        <f t="shared" si="93"/>
        <v>46419</v>
      </c>
      <c r="BD216" s="8">
        <f t="shared" si="93"/>
        <v>0</v>
      </c>
      <c r="BE216" s="8">
        <f t="shared" si="93"/>
        <v>0</v>
      </c>
      <c r="BF216" s="8">
        <f t="shared" si="93"/>
        <v>46508</v>
      </c>
      <c r="BG216" s="8">
        <f t="shared" si="93"/>
        <v>0</v>
      </c>
      <c r="BH216" s="8">
        <f t="shared" si="93"/>
        <v>0</v>
      </c>
      <c r="BI216" s="8">
        <f t="shared" si="93"/>
        <v>46600</v>
      </c>
      <c r="BJ216" s="8">
        <f t="shared" si="93"/>
        <v>0</v>
      </c>
      <c r="BK216" s="8">
        <f t="shared" si="93"/>
        <v>0</v>
      </c>
      <c r="BL216" s="8">
        <f t="shared" si="93"/>
        <v>46692</v>
      </c>
      <c r="BM216" s="8">
        <f t="shared" si="93"/>
        <v>0</v>
      </c>
      <c r="BN216" s="8">
        <f t="shared" si="93"/>
        <v>0</v>
      </c>
      <c r="BO216" s="8">
        <f t="shared" si="93"/>
        <v>46784</v>
      </c>
      <c r="BP216" s="8">
        <f t="shared" si="93"/>
        <v>0</v>
      </c>
      <c r="BQ216" s="8">
        <f t="shared" si="93"/>
        <v>0</v>
      </c>
    </row>
    <row r="217" spans="1:69" outlineLevel="2">
      <c r="E217" s="2" t="str">
        <f t="shared" ref="E217:BQ217" si="94" xml:space="preserve">  E$204</f>
        <v>Fixed Operating Cost Growth Rate escalation step up frequency flag</v>
      </c>
      <c r="F217" s="2">
        <f t="shared" si="94"/>
        <v>0</v>
      </c>
      <c r="G217" s="2" t="str">
        <f t="shared" si="94"/>
        <v>flag</v>
      </c>
      <c r="H217" s="2">
        <f t="shared" si="94"/>
        <v>20</v>
      </c>
      <c r="I217" s="2">
        <f t="shared" si="94"/>
        <v>0</v>
      </c>
      <c r="J217" s="2">
        <f t="shared" si="94"/>
        <v>1</v>
      </c>
      <c r="K217" s="2">
        <f t="shared" si="94"/>
        <v>0</v>
      </c>
      <c r="L217" s="2">
        <f t="shared" si="94"/>
        <v>0</v>
      </c>
      <c r="M217" s="2">
        <f t="shared" si="94"/>
        <v>1</v>
      </c>
      <c r="N217" s="2">
        <f t="shared" si="94"/>
        <v>0</v>
      </c>
      <c r="O217" s="2">
        <f t="shared" si="94"/>
        <v>0</v>
      </c>
      <c r="P217" s="2">
        <f t="shared" si="94"/>
        <v>1</v>
      </c>
      <c r="Q217" s="2">
        <f t="shared" si="94"/>
        <v>0</v>
      </c>
      <c r="R217" s="2">
        <f t="shared" si="94"/>
        <v>0</v>
      </c>
      <c r="S217" s="2">
        <f t="shared" si="94"/>
        <v>1</v>
      </c>
      <c r="T217" s="2">
        <f t="shared" si="94"/>
        <v>0</v>
      </c>
      <c r="U217" s="2">
        <f t="shared" si="94"/>
        <v>0</v>
      </c>
      <c r="V217" s="2">
        <f t="shared" si="94"/>
        <v>1</v>
      </c>
      <c r="W217" s="2">
        <f t="shared" si="94"/>
        <v>0</v>
      </c>
      <c r="X217" s="2">
        <f t="shared" si="94"/>
        <v>0</v>
      </c>
      <c r="Y217" s="2">
        <f t="shared" si="94"/>
        <v>1</v>
      </c>
      <c r="Z217" s="2">
        <f t="shared" si="94"/>
        <v>0</v>
      </c>
      <c r="AA217" s="2">
        <f t="shared" si="94"/>
        <v>0</v>
      </c>
      <c r="AB217" s="2">
        <f t="shared" si="94"/>
        <v>1</v>
      </c>
      <c r="AC217" s="2">
        <f t="shared" si="94"/>
        <v>0</v>
      </c>
      <c r="AD217" s="2">
        <f t="shared" si="94"/>
        <v>0</v>
      </c>
      <c r="AE217" s="2">
        <f t="shared" si="94"/>
        <v>1</v>
      </c>
      <c r="AF217" s="2">
        <f t="shared" si="94"/>
        <v>0</v>
      </c>
      <c r="AG217" s="2">
        <f t="shared" si="94"/>
        <v>0</v>
      </c>
      <c r="AH217" s="2">
        <f t="shared" si="94"/>
        <v>1</v>
      </c>
      <c r="AI217" s="2">
        <f t="shared" si="94"/>
        <v>0</v>
      </c>
      <c r="AJ217" s="2">
        <f t="shared" si="94"/>
        <v>0</v>
      </c>
      <c r="AK217" s="2">
        <f t="shared" si="94"/>
        <v>1</v>
      </c>
      <c r="AL217" s="2">
        <f t="shared" si="94"/>
        <v>0</v>
      </c>
      <c r="AM217" s="2">
        <f t="shared" si="94"/>
        <v>0</v>
      </c>
      <c r="AN217" s="2">
        <f t="shared" si="94"/>
        <v>1</v>
      </c>
      <c r="AO217" s="2">
        <f t="shared" si="94"/>
        <v>0</v>
      </c>
      <c r="AP217" s="2">
        <f t="shared" si="94"/>
        <v>0</v>
      </c>
      <c r="AQ217" s="2">
        <f t="shared" si="94"/>
        <v>1</v>
      </c>
      <c r="AR217" s="2">
        <f t="shared" si="94"/>
        <v>0</v>
      </c>
      <c r="AS217" s="2">
        <f t="shared" si="94"/>
        <v>0</v>
      </c>
      <c r="AT217" s="2">
        <f t="shared" si="94"/>
        <v>1</v>
      </c>
      <c r="AU217" s="2">
        <f t="shared" si="94"/>
        <v>0</v>
      </c>
      <c r="AV217" s="2">
        <f t="shared" si="94"/>
        <v>0</v>
      </c>
      <c r="AW217" s="2">
        <f t="shared" si="94"/>
        <v>1</v>
      </c>
      <c r="AX217" s="2">
        <f t="shared" si="94"/>
        <v>0</v>
      </c>
      <c r="AY217" s="2">
        <f t="shared" si="94"/>
        <v>0</v>
      </c>
      <c r="AZ217" s="2">
        <f t="shared" si="94"/>
        <v>1</v>
      </c>
      <c r="BA217" s="2">
        <f t="shared" si="94"/>
        <v>0</v>
      </c>
      <c r="BB217" s="2">
        <f t="shared" si="94"/>
        <v>0</v>
      </c>
      <c r="BC217" s="2">
        <f t="shared" si="94"/>
        <v>1</v>
      </c>
      <c r="BD217" s="2">
        <f t="shared" si="94"/>
        <v>0</v>
      </c>
      <c r="BE217" s="2">
        <f t="shared" si="94"/>
        <v>0</v>
      </c>
      <c r="BF217" s="2">
        <f t="shared" si="94"/>
        <v>1</v>
      </c>
      <c r="BG217" s="2">
        <f t="shared" si="94"/>
        <v>0</v>
      </c>
      <c r="BH217" s="2">
        <f t="shared" si="94"/>
        <v>0</v>
      </c>
      <c r="BI217" s="2">
        <f t="shared" si="94"/>
        <v>1</v>
      </c>
      <c r="BJ217" s="2">
        <f t="shared" si="94"/>
        <v>0</v>
      </c>
      <c r="BK217" s="2">
        <f t="shared" si="94"/>
        <v>0</v>
      </c>
      <c r="BL217" s="2">
        <f t="shared" si="94"/>
        <v>1</v>
      </c>
      <c r="BM217" s="2">
        <f t="shared" si="94"/>
        <v>0</v>
      </c>
      <c r="BN217" s="2">
        <f t="shared" si="94"/>
        <v>0</v>
      </c>
      <c r="BO217" s="2">
        <f t="shared" si="94"/>
        <v>1</v>
      </c>
      <c r="BP217" s="2">
        <f t="shared" si="94"/>
        <v>0</v>
      </c>
      <c r="BQ217" s="2">
        <f t="shared" si="94"/>
        <v>0</v>
      </c>
    </row>
    <row r="218" spans="1:69" outlineLevel="2">
      <c r="E218" s="47" t="s">
        <v>242</v>
      </c>
      <c r="H218" s="2">
        <f xml:space="preserve"> SUM( J218:BQ218 )</f>
        <v>47.569222418152265</v>
      </c>
      <c r="J218" s="2">
        <f t="shared" ref="J218:BQ218" si="95" xml:space="preserve">  YEARFRAC( $F215, J216, 1 ) * J217</f>
        <v>0</v>
      </c>
      <c r="K218" s="2">
        <f t="shared" si="95"/>
        <v>0</v>
      </c>
      <c r="L218" s="2">
        <f t="shared" si="95"/>
        <v>0</v>
      </c>
      <c r="M218" s="2">
        <f t="shared" si="95"/>
        <v>0.25205479452054796</v>
      </c>
      <c r="N218" s="2">
        <f t="shared" si="95"/>
        <v>0</v>
      </c>
      <c r="O218" s="2">
        <f t="shared" si="95"/>
        <v>0</v>
      </c>
      <c r="P218" s="2">
        <f t="shared" si="95"/>
        <v>0.50410958904109593</v>
      </c>
      <c r="Q218" s="2">
        <f t="shared" si="95"/>
        <v>0</v>
      </c>
      <c r="R218" s="2">
        <f t="shared" si="95"/>
        <v>0</v>
      </c>
      <c r="S218" s="2">
        <f t="shared" si="95"/>
        <v>0.75616438356164384</v>
      </c>
      <c r="T218" s="2">
        <f t="shared" si="95"/>
        <v>0</v>
      </c>
      <c r="U218" s="2">
        <f t="shared" si="95"/>
        <v>0</v>
      </c>
      <c r="V218" s="2">
        <f t="shared" si="95"/>
        <v>1</v>
      </c>
      <c r="W218" s="2">
        <f t="shared" si="95"/>
        <v>0</v>
      </c>
      <c r="X218" s="2">
        <f t="shared" si="95"/>
        <v>0</v>
      </c>
      <c r="Y218" s="2">
        <f t="shared" si="95"/>
        <v>1.2530779753761969</v>
      </c>
      <c r="Z218" s="2">
        <f t="shared" si="95"/>
        <v>0</v>
      </c>
      <c r="AA218" s="2">
        <f t="shared" si="95"/>
        <v>0</v>
      </c>
      <c r="AB218" s="2">
        <f t="shared" si="95"/>
        <v>1.5047879616963065</v>
      </c>
      <c r="AC218" s="2">
        <f t="shared" si="95"/>
        <v>0</v>
      </c>
      <c r="AD218" s="2">
        <f t="shared" si="95"/>
        <v>0</v>
      </c>
      <c r="AE218" s="2">
        <f t="shared" si="95"/>
        <v>1.7572992700729928</v>
      </c>
      <c r="AF218" s="2">
        <f t="shared" si="95"/>
        <v>0</v>
      </c>
      <c r="AG218" s="2">
        <f t="shared" si="95"/>
        <v>0</v>
      </c>
      <c r="AH218" s="2">
        <f t="shared" si="95"/>
        <v>2.0009124087591244</v>
      </c>
      <c r="AI218" s="2">
        <f t="shared" si="95"/>
        <v>0</v>
      </c>
      <c r="AJ218" s="2">
        <f t="shared" si="95"/>
        <v>0</v>
      </c>
      <c r="AK218" s="2">
        <f t="shared" si="95"/>
        <v>2.2527372262773722</v>
      </c>
      <c r="AL218" s="2">
        <f t="shared" si="95"/>
        <v>0</v>
      </c>
      <c r="AM218" s="2">
        <f t="shared" si="95"/>
        <v>0</v>
      </c>
      <c r="AN218" s="2">
        <f t="shared" si="95"/>
        <v>2.5045620437956204</v>
      </c>
      <c r="AO218" s="2">
        <f t="shared" si="95"/>
        <v>0</v>
      </c>
      <c r="AP218" s="2">
        <f t="shared" si="95"/>
        <v>0</v>
      </c>
      <c r="AQ218" s="2">
        <f t="shared" si="95"/>
        <v>2.7570157426420261</v>
      </c>
      <c r="AR218" s="2">
        <f t="shared" si="95"/>
        <v>0</v>
      </c>
      <c r="AS218" s="2">
        <f t="shared" si="95"/>
        <v>0</v>
      </c>
      <c r="AT218" s="2">
        <f t="shared" si="95"/>
        <v>3.0006844626967832</v>
      </c>
      <c r="AU218" s="2">
        <f t="shared" si="95"/>
        <v>0</v>
      </c>
      <c r="AV218" s="2">
        <f t="shared" si="95"/>
        <v>0</v>
      </c>
      <c r="AW218" s="2">
        <f t="shared" si="95"/>
        <v>3.2525667351129361</v>
      </c>
      <c r="AX218" s="2">
        <f t="shared" si="95"/>
        <v>0</v>
      </c>
      <c r="AY218" s="2">
        <f t="shared" si="95"/>
        <v>0</v>
      </c>
      <c r="AZ218" s="2">
        <f t="shared" si="95"/>
        <v>3.5044490075290895</v>
      </c>
      <c r="BA218" s="2">
        <f t="shared" si="95"/>
        <v>0</v>
      </c>
      <c r="BB218" s="2">
        <f t="shared" si="95"/>
        <v>0</v>
      </c>
      <c r="BC218" s="2">
        <f t="shared" si="95"/>
        <v>3.7568455640744798</v>
      </c>
      <c r="BD218" s="2">
        <f t="shared" si="95"/>
        <v>0</v>
      </c>
      <c r="BE218" s="2">
        <f t="shared" si="95"/>
        <v>0</v>
      </c>
      <c r="BF218" s="2">
        <f t="shared" si="95"/>
        <v>4.0005476451259581</v>
      </c>
      <c r="BG218" s="2">
        <f t="shared" si="95"/>
        <v>0</v>
      </c>
      <c r="BH218" s="2">
        <f t="shared" si="95"/>
        <v>0</v>
      </c>
      <c r="BI218" s="2">
        <f t="shared" si="95"/>
        <v>4.2524644030668126</v>
      </c>
      <c r="BJ218" s="2">
        <f t="shared" si="95"/>
        <v>0</v>
      </c>
      <c r="BK218" s="2">
        <f t="shared" si="95"/>
        <v>0</v>
      </c>
      <c r="BL218" s="2">
        <f t="shared" si="95"/>
        <v>4.5043811610076672</v>
      </c>
      <c r="BM218" s="2">
        <f t="shared" si="95"/>
        <v>0</v>
      </c>
      <c r="BN218" s="2">
        <f t="shared" si="95"/>
        <v>0</v>
      </c>
      <c r="BO218" s="2">
        <f t="shared" si="95"/>
        <v>4.7545620437956204</v>
      </c>
      <c r="BP218" s="2">
        <f t="shared" si="95"/>
        <v>0</v>
      </c>
      <c r="BQ218" s="2">
        <f t="shared" si="95"/>
        <v>0</v>
      </c>
    </row>
    <row r="219" spans="1:69" outlineLevel="1"/>
    <row r="220" spans="1:69" outlineLevel="1"/>
    <row r="221" spans="1:69" outlineLevel="1">
      <c r="B221" s="25" t="s">
        <v>55</v>
      </c>
    </row>
    <row r="222" spans="1:69" outlineLevel="2">
      <c r="A222" s="18"/>
      <c r="B222" s="18"/>
      <c r="C222" s="28"/>
      <c r="D222" s="27"/>
      <c r="E222" s="43" t="str">
        <f xml:space="preserve">  InpC!E$27</f>
        <v>Fixed Operating Cost Growth Rate annual start escalation rate</v>
      </c>
      <c r="F222" s="43">
        <f xml:space="preserve">  InpC!F$27</f>
        <v>0.1</v>
      </c>
      <c r="G222" s="43" t="str">
        <f xml:space="preserve">  InpC!G$27</f>
        <v>%</v>
      </c>
      <c r="M222" s="57"/>
    </row>
    <row r="223" spans="1:69" outlineLevel="2">
      <c r="E223" s="2" t="str">
        <f t="shared" ref="E223:BQ223" si="96" xml:space="preserve">  E$218</f>
        <v>years since Fixed Operating Cost Growth Rate base date</v>
      </c>
      <c r="F223" s="2">
        <f t="shared" si="96"/>
        <v>0</v>
      </c>
      <c r="G223" s="2">
        <f t="shared" si="96"/>
        <v>0</v>
      </c>
      <c r="H223" s="2">
        <f t="shared" si="96"/>
        <v>47.569222418152265</v>
      </c>
      <c r="I223" s="2">
        <f t="shared" si="96"/>
        <v>0</v>
      </c>
      <c r="J223" s="2">
        <f t="shared" si="96"/>
        <v>0</v>
      </c>
      <c r="K223" s="2">
        <f t="shared" si="96"/>
        <v>0</v>
      </c>
      <c r="L223" s="2">
        <f t="shared" si="96"/>
        <v>0</v>
      </c>
      <c r="M223" s="2">
        <f t="shared" si="96"/>
        <v>0.25205479452054796</v>
      </c>
      <c r="N223" s="2">
        <f t="shared" si="96"/>
        <v>0</v>
      </c>
      <c r="O223" s="2">
        <f t="shared" si="96"/>
        <v>0</v>
      </c>
      <c r="P223" s="2">
        <f t="shared" si="96"/>
        <v>0.50410958904109593</v>
      </c>
      <c r="Q223" s="2">
        <f t="shared" si="96"/>
        <v>0</v>
      </c>
      <c r="R223" s="2">
        <f t="shared" si="96"/>
        <v>0</v>
      </c>
      <c r="S223" s="2">
        <f t="shared" si="96"/>
        <v>0.75616438356164384</v>
      </c>
      <c r="T223" s="2">
        <f t="shared" si="96"/>
        <v>0</v>
      </c>
      <c r="U223" s="2">
        <f t="shared" si="96"/>
        <v>0</v>
      </c>
      <c r="V223" s="2">
        <f t="shared" si="96"/>
        <v>1</v>
      </c>
      <c r="W223" s="2">
        <f t="shared" si="96"/>
        <v>0</v>
      </c>
      <c r="X223" s="2">
        <f t="shared" si="96"/>
        <v>0</v>
      </c>
      <c r="Y223" s="2">
        <f t="shared" si="96"/>
        <v>1.2530779753761969</v>
      </c>
      <c r="Z223" s="2">
        <f t="shared" si="96"/>
        <v>0</v>
      </c>
      <c r="AA223" s="2">
        <f t="shared" si="96"/>
        <v>0</v>
      </c>
      <c r="AB223" s="2">
        <f t="shared" si="96"/>
        <v>1.5047879616963065</v>
      </c>
      <c r="AC223" s="2">
        <f t="shared" si="96"/>
        <v>0</v>
      </c>
      <c r="AD223" s="2">
        <f t="shared" si="96"/>
        <v>0</v>
      </c>
      <c r="AE223" s="2">
        <f t="shared" si="96"/>
        <v>1.7572992700729928</v>
      </c>
      <c r="AF223" s="2">
        <f t="shared" si="96"/>
        <v>0</v>
      </c>
      <c r="AG223" s="2">
        <f t="shared" si="96"/>
        <v>0</v>
      </c>
      <c r="AH223" s="2">
        <f t="shared" si="96"/>
        <v>2.0009124087591244</v>
      </c>
      <c r="AI223" s="2">
        <f t="shared" si="96"/>
        <v>0</v>
      </c>
      <c r="AJ223" s="2">
        <f t="shared" si="96"/>
        <v>0</v>
      </c>
      <c r="AK223" s="2">
        <f t="shared" si="96"/>
        <v>2.2527372262773722</v>
      </c>
      <c r="AL223" s="2">
        <f t="shared" si="96"/>
        <v>0</v>
      </c>
      <c r="AM223" s="2">
        <f t="shared" si="96"/>
        <v>0</v>
      </c>
      <c r="AN223" s="2">
        <f t="shared" si="96"/>
        <v>2.5045620437956204</v>
      </c>
      <c r="AO223" s="2">
        <f t="shared" si="96"/>
        <v>0</v>
      </c>
      <c r="AP223" s="2">
        <f t="shared" si="96"/>
        <v>0</v>
      </c>
      <c r="AQ223" s="2">
        <f t="shared" si="96"/>
        <v>2.7570157426420261</v>
      </c>
      <c r="AR223" s="2">
        <f t="shared" si="96"/>
        <v>0</v>
      </c>
      <c r="AS223" s="2">
        <f t="shared" si="96"/>
        <v>0</v>
      </c>
      <c r="AT223" s="2">
        <f t="shared" si="96"/>
        <v>3.0006844626967832</v>
      </c>
      <c r="AU223" s="2">
        <f t="shared" si="96"/>
        <v>0</v>
      </c>
      <c r="AV223" s="2">
        <f t="shared" si="96"/>
        <v>0</v>
      </c>
      <c r="AW223" s="2">
        <f t="shared" si="96"/>
        <v>3.2525667351129361</v>
      </c>
      <c r="AX223" s="2">
        <f t="shared" si="96"/>
        <v>0</v>
      </c>
      <c r="AY223" s="2">
        <f t="shared" si="96"/>
        <v>0</v>
      </c>
      <c r="AZ223" s="2">
        <f t="shared" si="96"/>
        <v>3.5044490075290895</v>
      </c>
      <c r="BA223" s="2">
        <f t="shared" si="96"/>
        <v>0</v>
      </c>
      <c r="BB223" s="2">
        <f t="shared" si="96"/>
        <v>0</v>
      </c>
      <c r="BC223" s="2">
        <f t="shared" si="96"/>
        <v>3.7568455640744798</v>
      </c>
      <c r="BD223" s="2">
        <f t="shared" si="96"/>
        <v>0</v>
      </c>
      <c r="BE223" s="2">
        <f t="shared" si="96"/>
        <v>0</v>
      </c>
      <c r="BF223" s="2">
        <f t="shared" si="96"/>
        <v>4.0005476451259581</v>
      </c>
      <c r="BG223" s="2">
        <f t="shared" si="96"/>
        <v>0</v>
      </c>
      <c r="BH223" s="2">
        <f t="shared" si="96"/>
        <v>0</v>
      </c>
      <c r="BI223" s="2">
        <f t="shared" si="96"/>
        <v>4.2524644030668126</v>
      </c>
      <c r="BJ223" s="2">
        <f t="shared" si="96"/>
        <v>0</v>
      </c>
      <c r="BK223" s="2">
        <f t="shared" si="96"/>
        <v>0</v>
      </c>
      <c r="BL223" s="2">
        <f t="shared" si="96"/>
        <v>4.5043811610076672</v>
      </c>
      <c r="BM223" s="2">
        <f t="shared" si="96"/>
        <v>0</v>
      </c>
      <c r="BN223" s="2">
        <f t="shared" si="96"/>
        <v>0</v>
      </c>
      <c r="BO223" s="2">
        <f t="shared" si="96"/>
        <v>4.7545620437956204</v>
      </c>
      <c r="BP223" s="2">
        <f t="shared" si="96"/>
        <v>0</v>
      </c>
      <c r="BQ223" s="2">
        <f t="shared" si="96"/>
        <v>0</v>
      </c>
    </row>
    <row r="224" spans="1:69" outlineLevel="2">
      <c r="E224" s="2" t="str">
        <f t="shared" ref="E224:BQ224" si="97" xml:space="preserve">  E$177</f>
        <v>Fixed Operating Cost Growth Rate escalation duration flag</v>
      </c>
      <c r="F224" s="2">
        <f t="shared" si="97"/>
        <v>0</v>
      </c>
      <c r="G224" s="2" t="str">
        <f t="shared" si="97"/>
        <v>flag</v>
      </c>
      <c r="H224" s="2">
        <f t="shared" si="97"/>
        <v>60</v>
      </c>
      <c r="I224" s="2">
        <f t="shared" si="97"/>
        <v>0</v>
      </c>
      <c r="J224" s="2">
        <f t="shared" si="97"/>
        <v>1</v>
      </c>
      <c r="K224" s="2">
        <f t="shared" si="97"/>
        <v>1</v>
      </c>
      <c r="L224" s="2">
        <f t="shared" si="97"/>
        <v>1</v>
      </c>
      <c r="M224" s="2">
        <f t="shared" si="97"/>
        <v>1</v>
      </c>
      <c r="N224" s="2">
        <f t="shared" si="97"/>
        <v>1</v>
      </c>
      <c r="O224" s="2">
        <f t="shared" si="97"/>
        <v>1</v>
      </c>
      <c r="P224" s="2">
        <f t="shared" si="97"/>
        <v>1</v>
      </c>
      <c r="Q224" s="2">
        <f t="shared" si="97"/>
        <v>1</v>
      </c>
      <c r="R224" s="2">
        <f t="shared" si="97"/>
        <v>1</v>
      </c>
      <c r="S224" s="2">
        <f t="shared" si="97"/>
        <v>1</v>
      </c>
      <c r="T224" s="2">
        <f t="shared" si="97"/>
        <v>1</v>
      </c>
      <c r="U224" s="2">
        <f t="shared" si="97"/>
        <v>1</v>
      </c>
      <c r="V224" s="2">
        <f t="shared" si="97"/>
        <v>1</v>
      </c>
      <c r="W224" s="2">
        <f t="shared" si="97"/>
        <v>1</v>
      </c>
      <c r="X224" s="2">
        <f t="shared" si="97"/>
        <v>1</v>
      </c>
      <c r="Y224" s="2">
        <f t="shared" si="97"/>
        <v>1</v>
      </c>
      <c r="Z224" s="2">
        <f t="shared" si="97"/>
        <v>1</v>
      </c>
      <c r="AA224" s="2">
        <f t="shared" si="97"/>
        <v>1</v>
      </c>
      <c r="AB224" s="2">
        <f t="shared" si="97"/>
        <v>1</v>
      </c>
      <c r="AC224" s="2">
        <f t="shared" si="97"/>
        <v>1</v>
      </c>
      <c r="AD224" s="2">
        <f t="shared" si="97"/>
        <v>1</v>
      </c>
      <c r="AE224" s="2">
        <f t="shared" si="97"/>
        <v>1</v>
      </c>
      <c r="AF224" s="2">
        <f t="shared" si="97"/>
        <v>1</v>
      </c>
      <c r="AG224" s="2">
        <f t="shared" si="97"/>
        <v>1</v>
      </c>
      <c r="AH224" s="2">
        <f t="shared" si="97"/>
        <v>1</v>
      </c>
      <c r="AI224" s="2">
        <f t="shared" si="97"/>
        <v>1</v>
      </c>
      <c r="AJ224" s="2">
        <f t="shared" si="97"/>
        <v>1</v>
      </c>
      <c r="AK224" s="2">
        <f t="shared" si="97"/>
        <v>1</v>
      </c>
      <c r="AL224" s="2">
        <f t="shared" si="97"/>
        <v>1</v>
      </c>
      <c r="AM224" s="2">
        <f t="shared" si="97"/>
        <v>1</v>
      </c>
      <c r="AN224" s="2">
        <f t="shared" si="97"/>
        <v>1</v>
      </c>
      <c r="AO224" s="2">
        <f t="shared" si="97"/>
        <v>1</v>
      </c>
      <c r="AP224" s="2">
        <f t="shared" si="97"/>
        <v>1</v>
      </c>
      <c r="AQ224" s="2">
        <f t="shared" si="97"/>
        <v>1</v>
      </c>
      <c r="AR224" s="2">
        <f t="shared" si="97"/>
        <v>1</v>
      </c>
      <c r="AS224" s="2">
        <f t="shared" si="97"/>
        <v>1</v>
      </c>
      <c r="AT224" s="2">
        <f t="shared" si="97"/>
        <v>1</v>
      </c>
      <c r="AU224" s="2">
        <f t="shared" si="97"/>
        <v>1</v>
      </c>
      <c r="AV224" s="2">
        <f t="shared" si="97"/>
        <v>1</v>
      </c>
      <c r="AW224" s="2">
        <f t="shared" si="97"/>
        <v>1</v>
      </c>
      <c r="AX224" s="2">
        <f t="shared" si="97"/>
        <v>1</v>
      </c>
      <c r="AY224" s="2">
        <f t="shared" si="97"/>
        <v>1</v>
      </c>
      <c r="AZ224" s="2">
        <f t="shared" si="97"/>
        <v>1</v>
      </c>
      <c r="BA224" s="2">
        <f t="shared" si="97"/>
        <v>1</v>
      </c>
      <c r="BB224" s="2">
        <f t="shared" si="97"/>
        <v>1</v>
      </c>
      <c r="BC224" s="2">
        <f t="shared" si="97"/>
        <v>1</v>
      </c>
      <c r="BD224" s="2">
        <f t="shared" si="97"/>
        <v>1</v>
      </c>
      <c r="BE224" s="2">
        <f t="shared" si="97"/>
        <v>1</v>
      </c>
      <c r="BF224" s="2">
        <f t="shared" si="97"/>
        <v>1</v>
      </c>
      <c r="BG224" s="2">
        <f t="shared" si="97"/>
        <v>1</v>
      </c>
      <c r="BH224" s="2">
        <f t="shared" si="97"/>
        <v>1</v>
      </c>
      <c r="BI224" s="2">
        <f t="shared" si="97"/>
        <v>1</v>
      </c>
      <c r="BJ224" s="2">
        <f t="shared" si="97"/>
        <v>1</v>
      </c>
      <c r="BK224" s="2">
        <f t="shared" si="97"/>
        <v>1</v>
      </c>
      <c r="BL224" s="2">
        <f t="shared" si="97"/>
        <v>1</v>
      </c>
      <c r="BM224" s="2">
        <f t="shared" si="97"/>
        <v>1</v>
      </c>
      <c r="BN224" s="2">
        <f t="shared" si="97"/>
        <v>1</v>
      </c>
      <c r="BO224" s="2">
        <f t="shared" si="97"/>
        <v>1</v>
      </c>
      <c r="BP224" s="2">
        <f t="shared" si="97"/>
        <v>1</v>
      </c>
      <c r="BQ224" s="2">
        <f t="shared" si="97"/>
        <v>1</v>
      </c>
    </row>
    <row r="225" spans="1:69" outlineLevel="2">
      <c r="E225" s="2" t="str">
        <f t="shared" ref="E225:BQ225" si="98" xml:space="preserve">  E$204</f>
        <v>Fixed Operating Cost Growth Rate escalation step up frequency flag</v>
      </c>
      <c r="F225" s="2">
        <f t="shared" si="98"/>
        <v>0</v>
      </c>
      <c r="G225" s="2" t="str">
        <f t="shared" si="98"/>
        <v>flag</v>
      </c>
      <c r="H225" s="2">
        <f t="shared" si="98"/>
        <v>20</v>
      </c>
      <c r="I225" s="2">
        <f t="shared" si="98"/>
        <v>0</v>
      </c>
      <c r="J225" s="2">
        <f t="shared" si="98"/>
        <v>1</v>
      </c>
      <c r="K225" s="2">
        <f t="shared" si="98"/>
        <v>0</v>
      </c>
      <c r="L225" s="2">
        <f t="shared" si="98"/>
        <v>0</v>
      </c>
      <c r="M225" s="2">
        <f t="shared" si="98"/>
        <v>1</v>
      </c>
      <c r="N225" s="2">
        <f t="shared" si="98"/>
        <v>0</v>
      </c>
      <c r="O225" s="2">
        <f t="shared" si="98"/>
        <v>0</v>
      </c>
      <c r="P225" s="2">
        <f t="shared" si="98"/>
        <v>1</v>
      </c>
      <c r="Q225" s="2">
        <f t="shared" si="98"/>
        <v>0</v>
      </c>
      <c r="R225" s="2">
        <f t="shared" si="98"/>
        <v>0</v>
      </c>
      <c r="S225" s="2">
        <f t="shared" si="98"/>
        <v>1</v>
      </c>
      <c r="T225" s="2">
        <f t="shared" si="98"/>
        <v>0</v>
      </c>
      <c r="U225" s="2">
        <f t="shared" si="98"/>
        <v>0</v>
      </c>
      <c r="V225" s="2">
        <f t="shared" si="98"/>
        <v>1</v>
      </c>
      <c r="W225" s="2">
        <f t="shared" si="98"/>
        <v>0</v>
      </c>
      <c r="X225" s="2">
        <f t="shared" si="98"/>
        <v>0</v>
      </c>
      <c r="Y225" s="2">
        <f t="shared" si="98"/>
        <v>1</v>
      </c>
      <c r="Z225" s="2">
        <f t="shared" si="98"/>
        <v>0</v>
      </c>
      <c r="AA225" s="2">
        <f t="shared" si="98"/>
        <v>0</v>
      </c>
      <c r="AB225" s="2">
        <f t="shared" si="98"/>
        <v>1</v>
      </c>
      <c r="AC225" s="2">
        <f t="shared" si="98"/>
        <v>0</v>
      </c>
      <c r="AD225" s="2">
        <f t="shared" si="98"/>
        <v>0</v>
      </c>
      <c r="AE225" s="2">
        <f t="shared" si="98"/>
        <v>1</v>
      </c>
      <c r="AF225" s="2">
        <f t="shared" si="98"/>
        <v>0</v>
      </c>
      <c r="AG225" s="2">
        <f t="shared" si="98"/>
        <v>0</v>
      </c>
      <c r="AH225" s="2">
        <f t="shared" si="98"/>
        <v>1</v>
      </c>
      <c r="AI225" s="2">
        <f t="shared" si="98"/>
        <v>0</v>
      </c>
      <c r="AJ225" s="2">
        <f t="shared" si="98"/>
        <v>0</v>
      </c>
      <c r="AK225" s="2">
        <f t="shared" si="98"/>
        <v>1</v>
      </c>
      <c r="AL225" s="2">
        <f t="shared" si="98"/>
        <v>0</v>
      </c>
      <c r="AM225" s="2">
        <f t="shared" si="98"/>
        <v>0</v>
      </c>
      <c r="AN225" s="2">
        <f t="shared" si="98"/>
        <v>1</v>
      </c>
      <c r="AO225" s="2">
        <f t="shared" si="98"/>
        <v>0</v>
      </c>
      <c r="AP225" s="2">
        <f t="shared" si="98"/>
        <v>0</v>
      </c>
      <c r="AQ225" s="2">
        <f t="shared" si="98"/>
        <v>1</v>
      </c>
      <c r="AR225" s="2">
        <f t="shared" si="98"/>
        <v>0</v>
      </c>
      <c r="AS225" s="2">
        <f t="shared" si="98"/>
        <v>0</v>
      </c>
      <c r="AT225" s="2">
        <f t="shared" si="98"/>
        <v>1</v>
      </c>
      <c r="AU225" s="2">
        <f t="shared" si="98"/>
        <v>0</v>
      </c>
      <c r="AV225" s="2">
        <f t="shared" si="98"/>
        <v>0</v>
      </c>
      <c r="AW225" s="2">
        <f t="shared" si="98"/>
        <v>1</v>
      </c>
      <c r="AX225" s="2">
        <f t="shared" si="98"/>
        <v>0</v>
      </c>
      <c r="AY225" s="2">
        <f t="shared" si="98"/>
        <v>0</v>
      </c>
      <c r="AZ225" s="2">
        <f t="shared" si="98"/>
        <v>1</v>
      </c>
      <c r="BA225" s="2">
        <f t="shared" si="98"/>
        <v>0</v>
      </c>
      <c r="BB225" s="2">
        <f t="shared" si="98"/>
        <v>0</v>
      </c>
      <c r="BC225" s="2">
        <f t="shared" si="98"/>
        <v>1</v>
      </c>
      <c r="BD225" s="2">
        <f t="shared" si="98"/>
        <v>0</v>
      </c>
      <c r="BE225" s="2">
        <f t="shared" si="98"/>
        <v>0</v>
      </c>
      <c r="BF225" s="2">
        <f t="shared" si="98"/>
        <v>1</v>
      </c>
      <c r="BG225" s="2">
        <f t="shared" si="98"/>
        <v>0</v>
      </c>
      <c r="BH225" s="2">
        <f t="shared" si="98"/>
        <v>0</v>
      </c>
      <c r="BI225" s="2">
        <f t="shared" si="98"/>
        <v>1</v>
      </c>
      <c r="BJ225" s="2">
        <f t="shared" si="98"/>
        <v>0</v>
      </c>
      <c r="BK225" s="2">
        <f t="shared" si="98"/>
        <v>0</v>
      </c>
      <c r="BL225" s="2">
        <f t="shared" si="98"/>
        <v>1</v>
      </c>
      <c r="BM225" s="2">
        <f t="shared" si="98"/>
        <v>0</v>
      </c>
      <c r="BN225" s="2">
        <f t="shared" si="98"/>
        <v>0</v>
      </c>
      <c r="BO225" s="2">
        <f t="shared" si="98"/>
        <v>1</v>
      </c>
      <c r="BP225" s="2">
        <f t="shared" si="98"/>
        <v>0</v>
      </c>
      <c r="BQ225" s="2">
        <f t="shared" si="98"/>
        <v>0</v>
      </c>
    </row>
    <row r="226" spans="1:69" outlineLevel="2">
      <c r="A226" s="34"/>
      <c r="B226" s="34"/>
      <c r="C226" s="64"/>
      <c r="D226" s="65"/>
      <c r="E226" s="21" t="s">
        <v>55</v>
      </c>
      <c r="F226" s="21"/>
      <c r="G226" s="21" t="s">
        <v>39</v>
      </c>
      <c r="H226" s="21"/>
      <c r="I226" s="21"/>
      <c r="J226" s="38">
        <f t="shared" ref="J226:BQ226" si="99" xml:space="preserve">  IF( J224 = 0, 1, IF( J225 = 1, ( 1 + $F222 ) ^ J223, I226 ) )</f>
        <v>1</v>
      </c>
      <c r="K226" s="38">
        <f t="shared" si="99"/>
        <v>1</v>
      </c>
      <c r="L226" s="38">
        <f t="shared" si="99"/>
        <v>1</v>
      </c>
      <c r="M226" s="38">
        <f t="shared" si="99"/>
        <v>1.0243142740538207</v>
      </c>
      <c r="N226" s="38">
        <f t="shared" si="99"/>
        <v>1.0243142740538207</v>
      </c>
      <c r="O226" s="38">
        <f t="shared" si="99"/>
        <v>1.0243142740538207</v>
      </c>
      <c r="P226" s="38">
        <f t="shared" si="99"/>
        <v>1.0492197320304057</v>
      </c>
      <c r="Q226" s="38">
        <f t="shared" si="99"/>
        <v>1.0492197320304057</v>
      </c>
      <c r="R226" s="38">
        <f t="shared" si="99"/>
        <v>1.0492197320304057</v>
      </c>
      <c r="S226" s="38">
        <f t="shared" si="99"/>
        <v>1.0747307481376693</v>
      </c>
      <c r="T226" s="38">
        <f t="shared" si="99"/>
        <v>1.0747307481376693</v>
      </c>
      <c r="U226" s="38">
        <f t="shared" si="99"/>
        <v>1.0747307481376693</v>
      </c>
      <c r="V226" s="38">
        <f t="shared" si="99"/>
        <v>1.1000000000000001</v>
      </c>
      <c r="W226" s="38">
        <f t="shared" si="99"/>
        <v>1.1000000000000001</v>
      </c>
      <c r="X226" s="38">
        <f t="shared" si="99"/>
        <v>1.1000000000000001</v>
      </c>
      <c r="Y226" s="38">
        <f t="shared" si="99"/>
        <v>1.1268555865523511</v>
      </c>
      <c r="Z226" s="38">
        <f t="shared" si="99"/>
        <v>1.1268555865523511</v>
      </c>
      <c r="AA226" s="38">
        <f t="shared" si="99"/>
        <v>1.1268555865523511</v>
      </c>
      <c r="AB226" s="38">
        <f t="shared" si="99"/>
        <v>1.1542163296239218</v>
      </c>
      <c r="AC226" s="38">
        <f t="shared" si="99"/>
        <v>1.1542163296239218</v>
      </c>
      <c r="AD226" s="38">
        <f t="shared" si="99"/>
        <v>1.1542163296239218</v>
      </c>
      <c r="AE226" s="38">
        <f t="shared" si="99"/>
        <v>1.1823317044069723</v>
      </c>
      <c r="AF226" s="38">
        <f t="shared" si="99"/>
        <v>1.1823317044069723</v>
      </c>
      <c r="AG226" s="38">
        <f t="shared" si="99"/>
        <v>1.1823317044069723</v>
      </c>
      <c r="AH226" s="38">
        <f t="shared" si="99"/>
        <v>1.2101052284052554</v>
      </c>
      <c r="AI226" s="38">
        <f t="shared" si="99"/>
        <v>1.2101052284052554</v>
      </c>
      <c r="AJ226" s="38">
        <f t="shared" si="99"/>
        <v>1.2101052284052554</v>
      </c>
      <c r="AK226" s="38">
        <f t="shared" si="99"/>
        <v>1.2395008894596742</v>
      </c>
      <c r="AL226" s="38">
        <f t="shared" si="99"/>
        <v>1.2395008894596742</v>
      </c>
      <c r="AM226" s="38">
        <f t="shared" si="99"/>
        <v>1.2395008894596742</v>
      </c>
      <c r="AN226" s="38">
        <f t="shared" si="99"/>
        <v>1.2696106246859442</v>
      </c>
      <c r="AO226" s="38">
        <f t="shared" si="99"/>
        <v>1.2696106246859442</v>
      </c>
      <c r="AP226" s="38">
        <f t="shared" si="99"/>
        <v>1.2696106246859442</v>
      </c>
      <c r="AQ226" s="38">
        <f t="shared" si="99"/>
        <v>1.3005297300923371</v>
      </c>
      <c r="AR226" s="38">
        <f t="shared" si="99"/>
        <v>1.3005297300923371</v>
      </c>
      <c r="AS226" s="38">
        <f t="shared" si="99"/>
        <v>1.3005297300923371</v>
      </c>
      <c r="AT226" s="38">
        <f t="shared" si="99"/>
        <v>1.3310868322979301</v>
      </c>
      <c r="AU226" s="38">
        <f t="shared" si="99"/>
        <v>1.3310868322979301</v>
      </c>
      <c r="AV226" s="38">
        <f t="shared" si="99"/>
        <v>1.3310868322979301</v>
      </c>
      <c r="AW226" s="38">
        <f t="shared" si="99"/>
        <v>1.3634288231296141</v>
      </c>
      <c r="AX226" s="38">
        <f t="shared" si="99"/>
        <v>1.3634288231296141</v>
      </c>
      <c r="AY226" s="38">
        <f t="shared" si="99"/>
        <v>1.3634288231296141</v>
      </c>
      <c r="AZ226" s="38">
        <f t="shared" si="99"/>
        <v>1.396556641260897</v>
      </c>
      <c r="BA226" s="38">
        <f t="shared" si="99"/>
        <v>1.396556641260897</v>
      </c>
      <c r="BB226" s="38">
        <f t="shared" si="99"/>
        <v>1.396556641260897</v>
      </c>
      <c r="BC226" s="38">
        <f t="shared" si="99"/>
        <v>1.4305594995961339</v>
      </c>
      <c r="BD226" s="38">
        <f t="shared" si="99"/>
        <v>1.4305594995961339</v>
      </c>
      <c r="BE226" s="38">
        <f t="shared" si="99"/>
        <v>1.4305594995961339</v>
      </c>
      <c r="BF226" s="38">
        <f t="shared" si="99"/>
        <v>1.4641764223856168</v>
      </c>
      <c r="BG226" s="38">
        <f t="shared" si="99"/>
        <v>1.4641764223856168</v>
      </c>
      <c r="BH226" s="38">
        <f t="shared" si="99"/>
        <v>1.4641764223856168</v>
      </c>
      <c r="BI226" s="38">
        <f t="shared" si="99"/>
        <v>1.4997570778119578</v>
      </c>
      <c r="BJ226" s="38">
        <f t="shared" si="99"/>
        <v>1.4997570778119578</v>
      </c>
      <c r="BK226" s="38">
        <f t="shared" si="99"/>
        <v>1.4997570778119578</v>
      </c>
      <c r="BL226" s="38">
        <f t="shared" si="99"/>
        <v>1.5362023715572966</v>
      </c>
      <c r="BM226" s="38">
        <f t="shared" si="99"/>
        <v>1.5362023715572966</v>
      </c>
      <c r="BN226" s="38">
        <f t="shared" si="99"/>
        <v>1.5362023715572966</v>
      </c>
      <c r="BO226" s="38">
        <f t="shared" si="99"/>
        <v>1.5732730008629947</v>
      </c>
      <c r="BP226" s="38">
        <f t="shared" si="99"/>
        <v>1.5732730008629947</v>
      </c>
      <c r="BQ226" s="38">
        <f t="shared" si="99"/>
        <v>1.5732730008629947</v>
      </c>
    </row>
    <row r="227" spans="1:69" outlineLevel="1"/>
    <row r="229" spans="1:69">
      <c r="A229" s="25" t="s">
        <v>56</v>
      </c>
    </row>
    <row r="230" spans="1:69" outlineLevel="1">
      <c r="B230" s="25" t="s">
        <v>9</v>
      </c>
    </row>
    <row r="231" spans="1:69" outlineLevel="2">
      <c r="A231" s="18"/>
      <c r="B231" s="18"/>
      <c r="C231" s="28"/>
      <c r="D231" s="27"/>
      <c r="E231" s="20" t="str">
        <f xml:space="preserve">  InpC!E$69</f>
        <v>Supply Chain Finance enabled beginning date</v>
      </c>
      <c r="F231" s="20">
        <f xml:space="preserve">  InpC!F$69</f>
        <v>0</v>
      </c>
      <c r="G231" s="20" t="str">
        <f xml:space="preserve">  InpC!G$69</f>
        <v>date</v>
      </c>
      <c r="M231" s="8"/>
    </row>
    <row r="232" spans="1:69" outlineLevel="2">
      <c r="A232" s="18"/>
      <c r="B232" s="18"/>
      <c r="C232" s="28"/>
      <c r="D232" s="27"/>
      <c r="E232" s="20" t="str">
        <f xml:space="preserve">  InpC!E$68</f>
        <v>Supply Chain Finance enabled end date</v>
      </c>
      <c r="F232" s="20">
        <f xml:space="preserve">  InpC!F$68</f>
        <v>0</v>
      </c>
      <c r="G232" s="20" t="str">
        <f xml:space="preserve">  InpC!G$68</f>
        <v>date</v>
      </c>
      <c r="M232" s="8"/>
    </row>
    <row r="233" spans="1:69" outlineLevel="2">
      <c r="E233" s="8" t="str">
        <f t="shared" ref="E233:BQ233" si="100" xml:space="preserve">  E$19</f>
        <v>Model period end</v>
      </c>
      <c r="F233" s="8">
        <f t="shared" si="100"/>
        <v>0</v>
      </c>
      <c r="G233" s="8" t="str">
        <f t="shared" si="100"/>
        <v>date</v>
      </c>
      <c r="H233" s="8">
        <f t="shared" si="100"/>
        <v>0</v>
      </c>
      <c r="I233" s="8">
        <f t="shared" si="100"/>
        <v>0</v>
      </c>
      <c r="J233" s="8">
        <f t="shared" si="100"/>
        <v>45077</v>
      </c>
      <c r="K233" s="8">
        <f t="shared" si="100"/>
        <v>45107</v>
      </c>
      <c r="L233" s="8">
        <f t="shared" si="100"/>
        <v>45138</v>
      </c>
      <c r="M233" s="8">
        <f t="shared" si="100"/>
        <v>45169</v>
      </c>
      <c r="N233" s="8">
        <f t="shared" si="100"/>
        <v>45199</v>
      </c>
      <c r="O233" s="8">
        <f t="shared" si="100"/>
        <v>45230</v>
      </c>
      <c r="P233" s="8">
        <f t="shared" si="100"/>
        <v>45260</v>
      </c>
      <c r="Q233" s="8">
        <f t="shared" si="100"/>
        <v>45291</v>
      </c>
      <c r="R233" s="8">
        <f t="shared" si="100"/>
        <v>45322</v>
      </c>
      <c r="S233" s="8">
        <f t="shared" si="100"/>
        <v>45351</v>
      </c>
      <c r="T233" s="8">
        <f t="shared" si="100"/>
        <v>45382</v>
      </c>
      <c r="U233" s="8">
        <f t="shared" si="100"/>
        <v>45412</v>
      </c>
      <c r="V233" s="8">
        <f t="shared" si="100"/>
        <v>45443</v>
      </c>
      <c r="W233" s="8">
        <f t="shared" si="100"/>
        <v>45473</v>
      </c>
      <c r="X233" s="8">
        <f t="shared" si="100"/>
        <v>45504</v>
      </c>
      <c r="Y233" s="8">
        <f t="shared" si="100"/>
        <v>45535</v>
      </c>
      <c r="Z233" s="8">
        <f t="shared" si="100"/>
        <v>45565</v>
      </c>
      <c r="AA233" s="8">
        <f t="shared" si="100"/>
        <v>45596</v>
      </c>
      <c r="AB233" s="8">
        <f t="shared" si="100"/>
        <v>45626</v>
      </c>
      <c r="AC233" s="8">
        <f t="shared" si="100"/>
        <v>45657</v>
      </c>
      <c r="AD233" s="8">
        <f t="shared" si="100"/>
        <v>45688</v>
      </c>
      <c r="AE233" s="8">
        <f t="shared" si="100"/>
        <v>45716</v>
      </c>
      <c r="AF233" s="8">
        <f t="shared" si="100"/>
        <v>45747</v>
      </c>
      <c r="AG233" s="8">
        <f t="shared" si="100"/>
        <v>45777</v>
      </c>
      <c r="AH233" s="8">
        <f t="shared" si="100"/>
        <v>45808</v>
      </c>
      <c r="AI233" s="8">
        <f t="shared" si="100"/>
        <v>45838</v>
      </c>
      <c r="AJ233" s="8">
        <f t="shared" si="100"/>
        <v>45869</v>
      </c>
      <c r="AK233" s="8">
        <f t="shared" si="100"/>
        <v>45900</v>
      </c>
      <c r="AL233" s="8">
        <f t="shared" si="100"/>
        <v>45930</v>
      </c>
      <c r="AM233" s="8">
        <f t="shared" si="100"/>
        <v>45961</v>
      </c>
      <c r="AN233" s="8">
        <f t="shared" si="100"/>
        <v>45991</v>
      </c>
      <c r="AO233" s="8">
        <f t="shared" si="100"/>
        <v>46022</v>
      </c>
      <c r="AP233" s="8">
        <f t="shared" si="100"/>
        <v>46053</v>
      </c>
      <c r="AQ233" s="8">
        <f t="shared" si="100"/>
        <v>46081</v>
      </c>
      <c r="AR233" s="8">
        <f t="shared" si="100"/>
        <v>46112</v>
      </c>
      <c r="AS233" s="8">
        <f t="shared" si="100"/>
        <v>46142</v>
      </c>
      <c r="AT233" s="8">
        <f t="shared" si="100"/>
        <v>46173</v>
      </c>
      <c r="AU233" s="8">
        <f t="shared" si="100"/>
        <v>46203</v>
      </c>
      <c r="AV233" s="8">
        <f t="shared" si="100"/>
        <v>46234</v>
      </c>
      <c r="AW233" s="8">
        <f t="shared" si="100"/>
        <v>46265</v>
      </c>
      <c r="AX233" s="8">
        <f t="shared" si="100"/>
        <v>46295</v>
      </c>
      <c r="AY233" s="8">
        <f t="shared" si="100"/>
        <v>46326</v>
      </c>
      <c r="AZ233" s="8">
        <f t="shared" si="100"/>
        <v>46356</v>
      </c>
      <c r="BA233" s="8">
        <f t="shared" si="100"/>
        <v>46387</v>
      </c>
      <c r="BB233" s="8">
        <f t="shared" si="100"/>
        <v>46418</v>
      </c>
      <c r="BC233" s="8">
        <f t="shared" si="100"/>
        <v>46446</v>
      </c>
      <c r="BD233" s="8">
        <f t="shared" si="100"/>
        <v>46477</v>
      </c>
      <c r="BE233" s="8">
        <f t="shared" si="100"/>
        <v>46507</v>
      </c>
      <c r="BF233" s="8">
        <f t="shared" si="100"/>
        <v>46538</v>
      </c>
      <c r="BG233" s="8">
        <f t="shared" si="100"/>
        <v>46568</v>
      </c>
      <c r="BH233" s="8">
        <f t="shared" si="100"/>
        <v>46599</v>
      </c>
      <c r="BI233" s="8">
        <f t="shared" si="100"/>
        <v>46630</v>
      </c>
      <c r="BJ233" s="8">
        <f t="shared" si="100"/>
        <v>46660</v>
      </c>
      <c r="BK233" s="8">
        <f t="shared" si="100"/>
        <v>46691</v>
      </c>
      <c r="BL233" s="8">
        <f t="shared" si="100"/>
        <v>46721</v>
      </c>
      <c r="BM233" s="8">
        <f t="shared" si="100"/>
        <v>46752</v>
      </c>
      <c r="BN233" s="8">
        <f t="shared" si="100"/>
        <v>46783</v>
      </c>
      <c r="BO233" s="8">
        <f t="shared" si="100"/>
        <v>46812</v>
      </c>
      <c r="BP233" s="8">
        <f t="shared" si="100"/>
        <v>46843</v>
      </c>
      <c r="BQ233" s="8">
        <f t="shared" si="100"/>
        <v>46873</v>
      </c>
    </row>
    <row r="234" spans="1:69" outlineLevel="2">
      <c r="E234" s="8" t="str">
        <f t="shared" ref="E234:BQ234" si="101" xml:space="preserve">  E$12</f>
        <v>Model period start</v>
      </c>
      <c r="F234" s="8">
        <f t="shared" si="101"/>
        <v>0</v>
      </c>
      <c r="G234" s="8" t="str">
        <f t="shared" si="101"/>
        <v>date</v>
      </c>
      <c r="H234" s="8">
        <f t="shared" si="101"/>
        <v>0</v>
      </c>
      <c r="I234" s="8">
        <f t="shared" si="101"/>
        <v>0</v>
      </c>
      <c r="J234" s="8">
        <f t="shared" si="101"/>
        <v>45047</v>
      </c>
      <c r="K234" s="8">
        <f t="shared" si="101"/>
        <v>45078</v>
      </c>
      <c r="L234" s="8">
        <f t="shared" si="101"/>
        <v>45108</v>
      </c>
      <c r="M234" s="8">
        <f t="shared" si="101"/>
        <v>45139</v>
      </c>
      <c r="N234" s="8">
        <f t="shared" si="101"/>
        <v>45170</v>
      </c>
      <c r="O234" s="8">
        <f t="shared" si="101"/>
        <v>45200</v>
      </c>
      <c r="P234" s="8">
        <f t="shared" si="101"/>
        <v>45231</v>
      </c>
      <c r="Q234" s="8">
        <f t="shared" si="101"/>
        <v>45261</v>
      </c>
      <c r="R234" s="8">
        <f t="shared" si="101"/>
        <v>45292</v>
      </c>
      <c r="S234" s="8">
        <f t="shared" si="101"/>
        <v>45323</v>
      </c>
      <c r="T234" s="8">
        <f t="shared" si="101"/>
        <v>45352</v>
      </c>
      <c r="U234" s="8">
        <f t="shared" si="101"/>
        <v>45383</v>
      </c>
      <c r="V234" s="8">
        <f t="shared" si="101"/>
        <v>45413</v>
      </c>
      <c r="W234" s="8">
        <f t="shared" si="101"/>
        <v>45444</v>
      </c>
      <c r="X234" s="8">
        <f t="shared" si="101"/>
        <v>45474</v>
      </c>
      <c r="Y234" s="8">
        <f t="shared" si="101"/>
        <v>45505</v>
      </c>
      <c r="Z234" s="8">
        <f t="shared" si="101"/>
        <v>45536</v>
      </c>
      <c r="AA234" s="8">
        <f t="shared" si="101"/>
        <v>45566</v>
      </c>
      <c r="AB234" s="8">
        <f t="shared" si="101"/>
        <v>45597</v>
      </c>
      <c r="AC234" s="8">
        <f t="shared" si="101"/>
        <v>45627</v>
      </c>
      <c r="AD234" s="8">
        <f t="shared" si="101"/>
        <v>45658</v>
      </c>
      <c r="AE234" s="8">
        <f t="shared" si="101"/>
        <v>45689</v>
      </c>
      <c r="AF234" s="8">
        <f t="shared" si="101"/>
        <v>45717</v>
      </c>
      <c r="AG234" s="8">
        <f t="shared" si="101"/>
        <v>45748</v>
      </c>
      <c r="AH234" s="8">
        <f t="shared" si="101"/>
        <v>45778</v>
      </c>
      <c r="AI234" s="8">
        <f t="shared" si="101"/>
        <v>45809</v>
      </c>
      <c r="AJ234" s="8">
        <f t="shared" si="101"/>
        <v>45839</v>
      </c>
      <c r="AK234" s="8">
        <f t="shared" si="101"/>
        <v>45870</v>
      </c>
      <c r="AL234" s="8">
        <f t="shared" si="101"/>
        <v>45901</v>
      </c>
      <c r="AM234" s="8">
        <f t="shared" si="101"/>
        <v>45931</v>
      </c>
      <c r="AN234" s="8">
        <f t="shared" si="101"/>
        <v>45962</v>
      </c>
      <c r="AO234" s="8">
        <f t="shared" si="101"/>
        <v>45992</v>
      </c>
      <c r="AP234" s="8">
        <f t="shared" si="101"/>
        <v>46023</v>
      </c>
      <c r="AQ234" s="8">
        <f t="shared" si="101"/>
        <v>46054</v>
      </c>
      <c r="AR234" s="8">
        <f t="shared" si="101"/>
        <v>46082</v>
      </c>
      <c r="AS234" s="8">
        <f t="shared" si="101"/>
        <v>46113</v>
      </c>
      <c r="AT234" s="8">
        <f t="shared" si="101"/>
        <v>46143</v>
      </c>
      <c r="AU234" s="8">
        <f t="shared" si="101"/>
        <v>46174</v>
      </c>
      <c r="AV234" s="8">
        <f t="shared" si="101"/>
        <v>46204</v>
      </c>
      <c r="AW234" s="8">
        <f t="shared" si="101"/>
        <v>46235</v>
      </c>
      <c r="AX234" s="8">
        <f t="shared" si="101"/>
        <v>46266</v>
      </c>
      <c r="AY234" s="8">
        <f t="shared" si="101"/>
        <v>46296</v>
      </c>
      <c r="AZ234" s="8">
        <f t="shared" si="101"/>
        <v>46327</v>
      </c>
      <c r="BA234" s="8">
        <f t="shared" si="101"/>
        <v>46357</v>
      </c>
      <c r="BB234" s="8">
        <f t="shared" si="101"/>
        <v>46388</v>
      </c>
      <c r="BC234" s="8">
        <f t="shared" si="101"/>
        <v>46419</v>
      </c>
      <c r="BD234" s="8">
        <f t="shared" si="101"/>
        <v>46447</v>
      </c>
      <c r="BE234" s="8">
        <f t="shared" si="101"/>
        <v>46478</v>
      </c>
      <c r="BF234" s="8">
        <f t="shared" si="101"/>
        <v>46508</v>
      </c>
      <c r="BG234" s="8">
        <f t="shared" si="101"/>
        <v>46539</v>
      </c>
      <c r="BH234" s="8">
        <f t="shared" si="101"/>
        <v>46569</v>
      </c>
      <c r="BI234" s="8">
        <f t="shared" si="101"/>
        <v>46600</v>
      </c>
      <c r="BJ234" s="8">
        <f t="shared" si="101"/>
        <v>46631</v>
      </c>
      <c r="BK234" s="8">
        <f t="shared" si="101"/>
        <v>46661</v>
      </c>
      <c r="BL234" s="8">
        <f t="shared" si="101"/>
        <v>46692</v>
      </c>
      <c r="BM234" s="8">
        <f t="shared" si="101"/>
        <v>46722</v>
      </c>
      <c r="BN234" s="8">
        <f t="shared" si="101"/>
        <v>46753</v>
      </c>
      <c r="BO234" s="8">
        <f t="shared" si="101"/>
        <v>46784</v>
      </c>
      <c r="BP234" s="8">
        <f t="shared" si="101"/>
        <v>46813</v>
      </c>
      <c r="BQ234" s="8">
        <f t="shared" si="101"/>
        <v>46844</v>
      </c>
    </row>
    <row r="235" spans="1:69" outlineLevel="2">
      <c r="A235" s="34"/>
      <c r="B235" s="34"/>
      <c r="C235" s="64"/>
      <c r="D235" s="65"/>
      <c r="E235" s="21" t="s">
        <v>9</v>
      </c>
      <c r="F235" s="21"/>
      <c r="G235" s="21" t="s">
        <v>20</v>
      </c>
      <c r="H235" s="3">
        <f xml:space="preserve"> SUM( J235:BQ235 )</f>
        <v>0</v>
      </c>
      <c r="I235" s="21"/>
      <c r="J235" s="3">
        <f t="shared" ref="J235:BQ235" si="102" xml:space="preserve">  IF( AND( J233 &gt;= $F231, J234 &lt;= $F232 ), 1, 0 )</f>
        <v>0</v>
      </c>
      <c r="K235" s="3">
        <f t="shared" si="102"/>
        <v>0</v>
      </c>
      <c r="L235" s="3">
        <f t="shared" si="102"/>
        <v>0</v>
      </c>
      <c r="M235" s="3">
        <f t="shared" si="102"/>
        <v>0</v>
      </c>
      <c r="N235" s="3">
        <f t="shared" si="102"/>
        <v>0</v>
      </c>
      <c r="O235" s="3">
        <f t="shared" si="102"/>
        <v>0</v>
      </c>
      <c r="P235" s="3">
        <f t="shared" si="102"/>
        <v>0</v>
      </c>
      <c r="Q235" s="3">
        <f t="shared" si="102"/>
        <v>0</v>
      </c>
      <c r="R235" s="3">
        <f t="shared" si="102"/>
        <v>0</v>
      </c>
      <c r="S235" s="3">
        <f t="shared" si="102"/>
        <v>0</v>
      </c>
      <c r="T235" s="3">
        <f t="shared" si="102"/>
        <v>0</v>
      </c>
      <c r="U235" s="3">
        <f t="shared" si="102"/>
        <v>0</v>
      </c>
      <c r="V235" s="3">
        <f t="shared" si="102"/>
        <v>0</v>
      </c>
      <c r="W235" s="3">
        <f t="shared" si="102"/>
        <v>0</v>
      </c>
      <c r="X235" s="3">
        <f t="shared" si="102"/>
        <v>0</v>
      </c>
      <c r="Y235" s="3">
        <f t="shared" si="102"/>
        <v>0</v>
      </c>
      <c r="Z235" s="3">
        <f t="shared" si="102"/>
        <v>0</v>
      </c>
      <c r="AA235" s="3">
        <f t="shared" si="102"/>
        <v>0</v>
      </c>
      <c r="AB235" s="3">
        <f t="shared" si="102"/>
        <v>0</v>
      </c>
      <c r="AC235" s="3">
        <f t="shared" si="102"/>
        <v>0</v>
      </c>
      <c r="AD235" s="3">
        <f t="shared" si="102"/>
        <v>0</v>
      </c>
      <c r="AE235" s="3">
        <f t="shared" si="102"/>
        <v>0</v>
      </c>
      <c r="AF235" s="3">
        <f t="shared" si="102"/>
        <v>0</v>
      </c>
      <c r="AG235" s="3">
        <f t="shared" si="102"/>
        <v>0</v>
      </c>
      <c r="AH235" s="3">
        <f t="shared" si="102"/>
        <v>0</v>
      </c>
      <c r="AI235" s="3">
        <f t="shared" si="102"/>
        <v>0</v>
      </c>
      <c r="AJ235" s="3">
        <f t="shared" si="102"/>
        <v>0</v>
      </c>
      <c r="AK235" s="3">
        <f t="shared" si="102"/>
        <v>0</v>
      </c>
      <c r="AL235" s="3">
        <f t="shared" si="102"/>
        <v>0</v>
      </c>
      <c r="AM235" s="3">
        <f t="shared" si="102"/>
        <v>0</v>
      </c>
      <c r="AN235" s="3">
        <f t="shared" si="102"/>
        <v>0</v>
      </c>
      <c r="AO235" s="3">
        <f t="shared" si="102"/>
        <v>0</v>
      </c>
      <c r="AP235" s="3">
        <f t="shared" si="102"/>
        <v>0</v>
      </c>
      <c r="AQ235" s="3">
        <f t="shared" si="102"/>
        <v>0</v>
      </c>
      <c r="AR235" s="3">
        <f t="shared" si="102"/>
        <v>0</v>
      </c>
      <c r="AS235" s="3">
        <f t="shared" si="102"/>
        <v>0</v>
      </c>
      <c r="AT235" s="3">
        <f t="shared" si="102"/>
        <v>0</v>
      </c>
      <c r="AU235" s="3">
        <f t="shared" si="102"/>
        <v>0</v>
      </c>
      <c r="AV235" s="3">
        <f t="shared" si="102"/>
        <v>0</v>
      </c>
      <c r="AW235" s="3">
        <f t="shared" si="102"/>
        <v>0</v>
      </c>
      <c r="AX235" s="3">
        <f t="shared" si="102"/>
        <v>0</v>
      </c>
      <c r="AY235" s="3">
        <f t="shared" si="102"/>
        <v>0</v>
      </c>
      <c r="AZ235" s="3">
        <f t="shared" si="102"/>
        <v>0</v>
      </c>
      <c r="BA235" s="3">
        <f t="shared" si="102"/>
        <v>0</v>
      </c>
      <c r="BB235" s="3">
        <f t="shared" si="102"/>
        <v>0</v>
      </c>
      <c r="BC235" s="3">
        <f t="shared" si="102"/>
        <v>0</v>
      </c>
      <c r="BD235" s="3">
        <f t="shared" si="102"/>
        <v>0</v>
      </c>
      <c r="BE235" s="3">
        <f t="shared" si="102"/>
        <v>0</v>
      </c>
      <c r="BF235" s="3">
        <f t="shared" si="102"/>
        <v>0</v>
      </c>
      <c r="BG235" s="3">
        <f t="shared" si="102"/>
        <v>0</v>
      </c>
      <c r="BH235" s="3">
        <f t="shared" si="102"/>
        <v>0</v>
      </c>
      <c r="BI235" s="3">
        <f t="shared" si="102"/>
        <v>0</v>
      </c>
      <c r="BJ235" s="3">
        <f t="shared" si="102"/>
        <v>0</v>
      </c>
      <c r="BK235" s="3">
        <f t="shared" si="102"/>
        <v>0</v>
      </c>
      <c r="BL235" s="3">
        <f t="shared" si="102"/>
        <v>0</v>
      </c>
      <c r="BM235" s="3">
        <f t="shared" si="102"/>
        <v>0</v>
      </c>
      <c r="BN235" s="3">
        <f t="shared" si="102"/>
        <v>0</v>
      </c>
      <c r="BO235" s="3">
        <f t="shared" si="102"/>
        <v>0</v>
      </c>
      <c r="BP235" s="3">
        <f t="shared" si="102"/>
        <v>0</v>
      </c>
      <c r="BQ235" s="3">
        <f t="shared" si="102"/>
        <v>0</v>
      </c>
    </row>
    <row r="236" spans="1:69" outlineLevel="1"/>
    <row r="237" spans="1:69" outlineLevel="1"/>
    <row r="238" spans="1:69" outlineLevel="1">
      <c r="B238" s="25" t="s">
        <v>10</v>
      </c>
    </row>
    <row r="239" spans="1:69" outlineLevel="2">
      <c r="A239" s="18"/>
      <c r="B239" s="18"/>
      <c r="C239" s="28"/>
      <c r="D239" s="27"/>
      <c r="E239" s="20" t="str">
        <f xml:space="preserve">  InpC!E$61</f>
        <v>Invoice Finance Enabled beginning date</v>
      </c>
      <c r="F239" s="20">
        <f xml:space="preserve">  InpC!F$61</f>
        <v>0</v>
      </c>
      <c r="G239" s="20" t="str">
        <f xml:space="preserve">  InpC!G$61</f>
        <v>date</v>
      </c>
      <c r="M239" s="8"/>
    </row>
    <row r="240" spans="1:69" outlineLevel="2">
      <c r="A240" s="18"/>
      <c r="B240" s="18"/>
      <c r="C240" s="28"/>
      <c r="D240" s="27"/>
      <c r="E240" s="20" t="str">
        <f xml:space="preserve">  InpC!E$62</f>
        <v>Invoice Finance Enabled end date</v>
      </c>
      <c r="F240" s="20">
        <f xml:space="preserve">  InpC!F$62</f>
        <v>0</v>
      </c>
      <c r="G240" s="20" t="str">
        <f xml:space="preserve">  InpC!G$62</f>
        <v>date</v>
      </c>
      <c r="M240" s="8"/>
    </row>
    <row r="241" spans="1:69" outlineLevel="2">
      <c r="E241" s="8" t="str">
        <f t="shared" ref="E241:BQ241" si="103" xml:space="preserve">  E$19</f>
        <v>Model period end</v>
      </c>
      <c r="F241" s="8">
        <f t="shared" si="103"/>
        <v>0</v>
      </c>
      <c r="G241" s="8" t="str">
        <f t="shared" si="103"/>
        <v>date</v>
      </c>
      <c r="H241" s="8">
        <f t="shared" si="103"/>
        <v>0</v>
      </c>
      <c r="I241" s="8">
        <f t="shared" si="103"/>
        <v>0</v>
      </c>
      <c r="J241" s="8">
        <f t="shared" si="103"/>
        <v>45077</v>
      </c>
      <c r="K241" s="8">
        <f t="shared" si="103"/>
        <v>45107</v>
      </c>
      <c r="L241" s="8">
        <f t="shared" si="103"/>
        <v>45138</v>
      </c>
      <c r="M241" s="8">
        <f t="shared" si="103"/>
        <v>45169</v>
      </c>
      <c r="N241" s="8">
        <f t="shared" si="103"/>
        <v>45199</v>
      </c>
      <c r="O241" s="8">
        <f t="shared" si="103"/>
        <v>45230</v>
      </c>
      <c r="P241" s="8">
        <f t="shared" si="103"/>
        <v>45260</v>
      </c>
      <c r="Q241" s="8">
        <f t="shared" si="103"/>
        <v>45291</v>
      </c>
      <c r="R241" s="8">
        <f t="shared" si="103"/>
        <v>45322</v>
      </c>
      <c r="S241" s="8">
        <f t="shared" si="103"/>
        <v>45351</v>
      </c>
      <c r="T241" s="8">
        <f t="shared" si="103"/>
        <v>45382</v>
      </c>
      <c r="U241" s="8">
        <f t="shared" si="103"/>
        <v>45412</v>
      </c>
      <c r="V241" s="8">
        <f t="shared" si="103"/>
        <v>45443</v>
      </c>
      <c r="W241" s="8">
        <f t="shared" si="103"/>
        <v>45473</v>
      </c>
      <c r="X241" s="8">
        <f t="shared" si="103"/>
        <v>45504</v>
      </c>
      <c r="Y241" s="8">
        <f t="shared" si="103"/>
        <v>45535</v>
      </c>
      <c r="Z241" s="8">
        <f t="shared" si="103"/>
        <v>45565</v>
      </c>
      <c r="AA241" s="8">
        <f t="shared" si="103"/>
        <v>45596</v>
      </c>
      <c r="AB241" s="8">
        <f t="shared" si="103"/>
        <v>45626</v>
      </c>
      <c r="AC241" s="8">
        <f t="shared" si="103"/>
        <v>45657</v>
      </c>
      <c r="AD241" s="8">
        <f t="shared" si="103"/>
        <v>45688</v>
      </c>
      <c r="AE241" s="8">
        <f t="shared" si="103"/>
        <v>45716</v>
      </c>
      <c r="AF241" s="8">
        <f t="shared" si="103"/>
        <v>45747</v>
      </c>
      <c r="AG241" s="8">
        <f t="shared" si="103"/>
        <v>45777</v>
      </c>
      <c r="AH241" s="8">
        <f t="shared" si="103"/>
        <v>45808</v>
      </c>
      <c r="AI241" s="8">
        <f t="shared" si="103"/>
        <v>45838</v>
      </c>
      <c r="AJ241" s="8">
        <f t="shared" si="103"/>
        <v>45869</v>
      </c>
      <c r="AK241" s="8">
        <f t="shared" si="103"/>
        <v>45900</v>
      </c>
      <c r="AL241" s="8">
        <f t="shared" si="103"/>
        <v>45930</v>
      </c>
      <c r="AM241" s="8">
        <f t="shared" si="103"/>
        <v>45961</v>
      </c>
      <c r="AN241" s="8">
        <f t="shared" si="103"/>
        <v>45991</v>
      </c>
      <c r="AO241" s="8">
        <f t="shared" si="103"/>
        <v>46022</v>
      </c>
      <c r="AP241" s="8">
        <f t="shared" si="103"/>
        <v>46053</v>
      </c>
      <c r="AQ241" s="8">
        <f t="shared" si="103"/>
        <v>46081</v>
      </c>
      <c r="AR241" s="8">
        <f t="shared" si="103"/>
        <v>46112</v>
      </c>
      <c r="AS241" s="8">
        <f t="shared" si="103"/>
        <v>46142</v>
      </c>
      <c r="AT241" s="8">
        <f t="shared" si="103"/>
        <v>46173</v>
      </c>
      <c r="AU241" s="8">
        <f t="shared" si="103"/>
        <v>46203</v>
      </c>
      <c r="AV241" s="8">
        <f t="shared" si="103"/>
        <v>46234</v>
      </c>
      <c r="AW241" s="8">
        <f t="shared" si="103"/>
        <v>46265</v>
      </c>
      <c r="AX241" s="8">
        <f t="shared" si="103"/>
        <v>46295</v>
      </c>
      <c r="AY241" s="8">
        <f t="shared" si="103"/>
        <v>46326</v>
      </c>
      <c r="AZ241" s="8">
        <f t="shared" si="103"/>
        <v>46356</v>
      </c>
      <c r="BA241" s="8">
        <f t="shared" si="103"/>
        <v>46387</v>
      </c>
      <c r="BB241" s="8">
        <f t="shared" si="103"/>
        <v>46418</v>
      </c>
      <c r="BC241" s="8">
        <f t="shared" si="103"/>
        <v>46446</v>
      </c>
      <c r="BD241" s="8">
        <f t="shared" si="103"/>
        <v>46477</v>
      </c>
      <c r="BE241" s="8">
        <f t="shared" si="103"/>
        <v>46507</v>
      </c>
      <c r="BF241" s="8">
        <f t="shared" si="103"/>
        <v>46538</v>
      </c>
      <c r="BG241" s="8">
        <f t="shared" si="103"/>
        <v>46568</v>
      </c>
      <c r="BH241" s="8">
        <f t="shared" si="103"/>
        <v>46599</v>
      </c>
      <c r="BI241" s="8">
        <f t="shared" si="103"/>
        <v>46630</v>
      </c>
      <c r="BJ241" s="8">
        <f t="shared" si="103"/>
        <v>46660</v>
      </c>
      <c r="BK241" s="8">
        <f t="shared" si="103"/>
        <v>46691</v>
      </c>
      <c r="BL241" s="8">
        <f t="shared" si="103"/>
        <v>46721</v>
      </c>
      <c r="BM241" s="8">
        <f t="shared" si="103"/>
        <v>46752</v>
      </c>
      <c r="BN241" s="8">
        <f t="shared" si="103"/>
        <v>46783</v>
      </c>
      <c r="BO241" s="8">
        <f t="shared" si="103"/>
        <v>46812</v>
      </c>
      <c r="BP241" s="8">
        <f t="shared" si="103"/>
        <v>46843</v>
      </c>
      <c r="BQ241" s="8">
        <f t="shared" si="103"/>
        <v>46873</v>
      </c>
    </row>
    <row r="242" spans="1:69" outlineLevel="2">
      <c r="E242" s="8" t="str">
        <f t="shared" ref="E242:BQ242" si="104" xml:space="preserve">  E$12</f>
        <v>Model period start</v>
      </c>
      <c r="F242" s="8">
        <f t="shared" si="104"/>
        <v>0</v>
      </c>
      <c r="G242" s="8" t="str">
        <f t="shared" si="104"/>
        <v>date</v>
      </c>
      <c r="H242" s="8">
        <f t="shared" si="104"/>
        <v>0</v>
      </c>
      <c r="I242" s="8">
        <f t="shared" si="104"/>
        <v>0</v>
      </c>
      <c r="J242" s="8">
        <f t="shared" si="104"/>
        <v>45047</v>
      </c>
      <c r="K242" s="8">
        <f t="shared" si="104"/>
        <v>45078</v>
      </c>
      <c r="L242" s="8">
        <f t="shared" si="104"/>
        <v>45108</v>
      </c>
      <c r="M242" s="8">
        <f t="shared" si="104"/>
        <v>45139</v>
      </c>
      <c r="N242" s="8">
        <f t="shared" si="104"/>
        <v>45170</v>
      </c>
      <c r="O242" s="8">
        <f t="shared" si="104"/>
        <v>45200</v>
      </c>
      <c r="P242" s="8">
        <f t="shared" si="104"/>
        <v>45231</v>
      </c>
      <c r="Q242" s="8">
        <f t="shared" si="104"/>
        <v>45261</v>
      </c>
      <c r="R242" s="8">
        <f t="shared" si="104"/>
        <v>45292</v>
      </c>
      <c r="S242" s="8">
        <f t="shared" si="104"/>
        <v>45323</v>
      </c>
      <c r="T242" s="8">
        <f t="shared" si="104"/>
        <v>45352</v>
      </c>
      <c r="U242" s="8">
        <f t="shared" si="104"/>
        <v>45383</v>
      </c>
      <c r="V242" s="8">
        <f t="shared" si="104"/>
        <v>45413</v>
      </c>
      <c r="W242" s="8">
        <f t="shared" si="104"/>
        <v>45444</v>
      </c>
      <c r="X242" s="8">
        <f t="shared" si="104"/>
        <v>45474</v>
      </c>
      <c r="Y242" s="8">
        <f t="shared" si="104"/>
        <v>45505</v>
      </c>
      <c r="Z242" s="8">
        <f t="shared" si="104"/>
        <v>45536</v>
      </c>
      <c r="AA242" s="8">
        <f t="shared" si="104"/>
        <v>45566</v>
      </c>
      <c r="AB242" s="8">
        <f t="shared" si="104"/>
        <v>45597</v>
      </c>
      <c r="AC242" s="8">
        <f t="shared" si="104"/>
        <v>45627</v>
      </c>
      <c r="AD242" s="8">
        <f t="shared" si="104"/>
        <v>45658</v>
      </c>
      <c r="AE242" s="8">
        <f t="shared" si="104"/>
        <v>45689</v>
      </c>
      <c r="AF242" s="8">
        <f t="shared" si="104"/>
        <v>45717</v>
      </c>
      <c r="AG242" s="8">
        <f t="shared" si="104"/>
        <v>45748</v>
      </c>
      <c r="AH242" s="8">
        <f t="shared" si="104"/>
        <v>45778</v>
      </c>
      <c r="AI242" s="8">
        <f t="shared" si="104"/>
        <v>45809</v>
      </c>
      <c r="AJ242" s="8">
        <f t="shared" si="104"/>
        <v>45839</v>
      </c>
      <c r="AK242" s="8">
        <f t="shared" si="104"/>
        <v>45870</v>
      </c>
      <c r="AL242" s="8">
        <f t="shared" si="104"/>
        <v>45901</v>
      </c>
      <c r="AM242" s="8">
        <f t="shared" si="104"/>
        <v>45931</v>
      </c>
      <c r="AN242" s="8">
        <f t="shared" si="104"/>
        <v>45962</v>
      </c>
      <c r="AO242" s="8">
        <f t="shared" si="104"/>
        <v>45992</v>
      </c>
      <c r="AP242" s="8">
        <f t="shared" si="104"/>
        <v>46023</v>
      </c>
      <c r="AQ242" s="8">
        <f t="shared" si="104"/>
        <v>46054</v>
      </c>
      <c r="AR242" s="8">
        <f t="shared" si="104"/>
        <v>46082</v>
      </c>
      <c r="AS242" s="8">
        <f t="shared" si="104"/>
        <v>46113</v>
      </c>
      <c r="AT242" s="8">
        <f t="shared" si="104"/>
        <v>46143</v>
      </c>
      <c r="AU242" s="8">
        <f t="shared" si="104"/>
        <v>46174</v>
      </c>
      <c r="AV242" s="8">
        <f t="shared" si="104"/>
        <v>46204</v>
      </c>
      <c r="AW242" s="8">
        <f t="shared" si="104"/>
        <v>46235</v>
      </c>
      <c r="AX242" s="8">
        <f t="shared" si="104"/>
        <v>46266</v>
      </c>
      <c r="AY242" s="8">
        <f t="shared" si="104"/>
        <v>46296</v>
      </c>
      <c r="AZ242" s="8">
        <f t="shared" si="104"/>
        <v>46327</v>
      </c>
      <c r="BA242" s="8">
        <f t="shared" si="104"/>
        <v>46357</v>
      </c>
      <c r="BB242" s="8">
        <f t="shared" si="104"/>
        <v>46388</v>
      </c>
      <c r="BC242" s="8">
        <f t="shared" si="104"/>
        <v>46419</v>
      </c>
      <c r="BD242" s="8">
        <f t="shared" si="104"/>
        <v>46447</v>
      </c>
      <c r="BE242" s="8">
        <f t="shared" si="104"/>
        <v>46478</v>
      </c>
      <c r="BF242" s="8">
        <f t="shared" si="104"/>
        <v>46508</v>
      </c>
      <c r="BG242" s="8">
        <f t="shared" si="104"/>
        <v>46539</v>
      </c>
      <c r="BH242" s="8">
        <f t="shared" si="104"/>
        <v>46569</v>
      </c>
      <c r="BI242" s="8">
        <f t="shared" si="104"/>
        <v>46600</v>
      </c>
      <c r="BJ242" s="8">
        <f t="shared" si="104"/>
        <v>46631</v>
      </c>
      <c r="BK242" s="8">
        <f t="shared" si="104"/>
        <v>46661</v>
      </c>
      <c r="BL242" s="8">
        <f t="shared" si="104"/>
        <v>46692</v>
      </c>
      <c r="BM242" s="8">
        <f t="shared" si="104"/>
        <v>46722</v>
      </c>
      <c r="BN242" s="8">
        <f t="shared" si="104"/>
        <v>46753</v>
      </c>
      <c r="BO242" s="8">
        <f t="shared" si="104"/>
        <v>46784</v>
      </c>
      <c r="BP242" s="8">
        <f t="shared" si="104"/>
        <v>46813</v>
      </c>
      <c r="BQ242" s="8">
        <f t="shared" si="104"/>
        <v>46844</v>
      </c>
    </row>
    <row r="243" spans="1:69" outlineLevel="2">
      <c r="A243" s="34"/>
      <c r="B243" s="34"/>
      <c r="C243" s="64"/>
      <c r="D243" s="65"/>
      <c r="E243" s="21" t="s">
        <v>10</v>
      </c>
      <c r="F243" s="21"/>
      <c r="G243" s="21" t="s">
        <v>20</v>
      </c>
      <c r="H243" s="3">
        <f xml:space="preserve"> SUM( J243:BQ243 )</f>
        <v>0</v>
      </c>
      <c r="I243" s="21"/>
      <c r="J243" s="3">
        <f t="shared" ref="J243:BQ243" si="105" xml:space="preserve">  IF( AND( J241 &gt;= $F239, J242 &lt;= $F240 ), 1, 0 )</f>
        <v>0</v>
      </c>
      <c r="K243" s="3">
        <f t="shared" si="105"/>
        <v>0</v>
      </c>
      <c r="L243" s="3">
        <f t="shared" si="105"/>
        <v>0</v>
      </c>
      <c r="M243" s="3">
        <f t="shared" si="105"/>
        <v>0</v>
      </c>
      <c r="N243" s="3">
        <f t="shared" si="105"/>
        <v>0</v>
      </c>
      <c r="O243" s="3">
        <f t="shared" si="105"/>
        <v>0</v>
      </c>
      <c r="P243" s="3">
        <f t="shared" si="105"/>
        <v>0</v>
      </c>
      <c r="Q243" s="3">
        <f t="shared" si="105"/>
        <v>0</v>
      </c>
      <c r="R243" s="3">
        <f t="shared" si="105"/>
        <v>0</v>
      </c>
      <c r="S243" s="3">
        <f t="shared" si="105"/>
        <v>0</v>
      </c>
      <c r="T243" s="3">
        <f t="shared" si="105"/>
        <v>0</v>
      </c>
      <c r="U243" s="3">
        <f t="shared" si="105"/>
        <v>0</v>
      </c>
      <c r="V243" s="3">
        <f t="shared" si="105"/>
        <v>0</v>
      </c>
      <c r="W243" s="3">
        <f t="shared" si="105"/>
        <v>0</v>
      </c>
      <c r="X243" s="3">
        <f t="shared" si="105"/>
        <v>0</v>
      </c>
      <c r="Y243" s="3">
        <f t="shared" si="105"/>
        <v>0</v>
      </c>
      <c r="Z243" s="3">
        <f t="shared" si="105"/>
        <v>0</v>
      </c>
      <c r="AA243" s="3">
        <f t="shared" si="105"/>
        <v>0</v>
      </c>
      <c r="AB243" s="3">
        <f t="shared" si="105"/>
        <v>0</v>
      </c>
      <c r="AC243" s="3">
        <f t="shared" si="105"/>
        <v>0</v>
      </c>
      <c r="AD243" s="3">
        <f t="shared" si="105"/>
        <v>0</v>
      </c>
      <c r="AE243" s="3">
        <f t="shared" si="105"/>
        <v>0</v>
      </c>
      <c r="AF243" s="3">
        <f t="shared" si="105"/>
        <v>0</v>
      </c>
      <c r="AG243" s="3">
        <f t="shared" si="105"/>
        <v>0</v>
      </c>
      <c r="AH243" s="3">
        <f t="shared" si="105"/>
        <v>0</v>
      </c>
      <c r="AI243" s="3">
        <f t="shared" si="105"/>
        <v>0</v>
      </c>
      <c r="AJ243" s="3">
        <f t="shared" si="105"/>
        <v>0</v>
      </c>
      <c r="AK243" s="3">
        <f t="shared" si="105"/>
        <v>0</v>
      </c>
      <c r="AL243" s="3">
        <f t="shared" si="105"/>
        <v>0</v>
      </c>
      <c r="AM243" s="3">
        <f t="shared" si="105"/>
        <v>0</v>
      </c>
      <c r="AN243" s="3">
        <f t="shared" si="105"/>
        <v>0</v>
      </c>
      <c r="AO243" s="3">
        <f t="shared" si="105"/>
        <v>0</v>
      </c>
      <c r="AP243" s="3">
        <f t="shared" si="105"/>
        <v>0</v>
      </c>
      <c r="AQ243" s="3">
        <f t="shared" si="105"/>
        <v>0</v>
      </c>
      <c r="AR243" s="3">
        <f t="shared" si="105"/>
        <v>0</v>
      </c>
      <c r="AS243" s="3">
        <f t="shared" si="105"/>
        <v>0</v>
      </c>
      <c r="AT243" s="3">
        <f t="shared" si="105"/>
        <v>0</v>
      </c>
      <c r="AU243" s="3">
        <f t="shared" si="105"/>
        <v>0</v>
      </c>
      <c r="AV243" s="3">
        <f t="shared" si="105"/>
        <v>0</v>
      </c>
      <c r="AW243" s="3">
        <f t="shared" si="105"/>
        <v>0</v>
      </c>
      <c r="AX243" s="3">
        <f t="shared" si="105"/>
        <v>0</v>
      </c>
      <c r="AY243" s="3">
        <f t="shared" si="105"/>
        <v>0</v>
      </c>
      <c r="AZ243" s="3">
        <f t="shared" si="105"/>
        <v>0</v>
      </c>
      <c r="BA243" s="3">
        <f t="shared" si="105"/>
        <v>0</v>
      </c>
      <c r="BB243" s="3">
        <f t="shared" si="105"/>
        <v>0</v>
      </c>
      <c r="BC243" s="3">
        <f t="shared" si="105"/>
        <v>0</v>
      </c>
      <c r="BD243" s="3">
        <f t="shared" si="105"/>
        <v>0</v>
      </c>
      <c r="BE243" s="3">
        <f t="shared" si="105"/>
        <v>0</v>
      </c>
      <c r="BF243" s="3">
        <f t="shared" si="105"/>
        <v>0</v>
      </c>
      <c r="BG243" s="3">
        <f t="shared" si="105"/>
        <v>0</v>
      </c>
      <c r="BH243" s="3">
        <f t="shared" si="105"/>
        <v>0</v>
      </c>
      <c r="BI243" s="3">
        <f t="shared" si="105"/>
        <v>0</v>
      </c>
      <c r="BJ243" s="3">
        <f t="shared" si="105"/>
        <v>0</v>
      </c>
      <c r="BK243" s="3">
        <f t="shared" si="105"/>
        <v>0</v>
      </c>
      <c r="BL243" s="3">
        <f t="shared" si="105"/>
        <v>0</v>
      </c>
      <c r="BM243" s="3">
        <f t="shared" si="105"/>
        <v>0</v>
      </c>
      <c r="BN243" s="3">
        <f t="shared" si="105"/>
        <v>0</v>
      </c>
      <c r="BO243" s="3">
        <f t="shared" si="105"/>
        <v>0</v>
      </c>
      <c r="BP243" s="3">
        <f t="shared" si="105"/>
        <v>0</v>
      </c>
      <c r="BQ243" s="3">
        <f t="shared" si="105"/>
        <v>0</v>
      </c>
    </row>
    <row r="244" spans="1:69" outlineLevel="1"/>
    <row r="245" spans="1:69" outlineLevel="1"/>
    <row r="246" spans="1:69" outlineLevel="1">
      <c r="B246" s="25" t="s">
        <v>107</v>
      </c>
    </row>
    <row r="247" spans="1:69" outlineLevel="2">
      <c r="A247" s="18"/>
      <c r="B247" s="18"/>
      <c r="C247" s="28"/>
      <c r="D247" s="27"/>
      <c r="E247" s="20" t="str">
        <f xml:space="preserve">  InpC!E$76</f>
        <v>Asset Finance Enabled beginning date</v>
      </c>
      <c r="F247" s="20">
        <f xml:space="preserve">  InpC!F$76</f>
        <v>0</v>
      </c>
      <c r="G247" s="20" t="str">
        <f xml:space="preserve">  InpC!G$76</f>
        <v>date</v>
      </c>
      <c r="M247" s="8"/>
    </row>
    <row r="248" spans="1:69" outlineLevel="2">
      <c r="A248" s="18"/>
      <c r="B248" s="18"/>
      <c r="C248" s="28"/>
      <c r="D248" s="27"/>
      <c r="E248" s="20" t="str">
        <f xml:space="preserve">  InpC!E$75</f>
        <v>Asset Finance Enabled end date</v>
      </c>
      <c r="F248" s="20">
        <f xml:space="preserve">  InpC!F$75</f>
        <v>0</v>
      </c>
      <c r="G248" s="20" t="str">
        <f xml:space="preserve">  InpC!G$75</f>
        <v>date</v>
      </c>
      <c r="M248" s="8"/>
    </row>
    <row r="249" spans="1:69" outlineLevel="2">
      <c r="E249" s="8" t="str">
        <f t="shared" ref="E249:BQ249" si="106" xml:space="preserve">  E$19</f>
        <v>Model period end</v>
      </c>
      <c r="F249" s="8">
        <f t="shared" si="106"/>
        <v>0</v>
      </c>
      <c r="G249" s="8" t="str">
        <f t="shared" si="106"/>
        <v>date</v>
      </c>
      <c r="H249" s="8">
        <f t="shared" si="106"/>
        <v>0</v>
      </c>
      <c r="I249" s="8">
        <f t="shared" si="106"/>
        <v>0</v>
      </c>
      <c r="J249" s="8">
        <f t="shared" si="106"/>
        <v>45077</v>
      </c>
      <c r="K249" s="8">
        <f t="shared" si="106"/>
        <v>45107</v>
      </c>
      <c r="L249" s="8">
        <f t="shared" si="106"/>
        <v>45138</v>
      </c>
      <c r="M249" s="8">
        <f t="shared" si="106"/>
        <v>45169</v>
      </c>
      <c r="N249" s="8">
        <f t="shared" si="106"/>
        <v>45199</v>
      </c>
      <c r="O249" s="8">
        <f t="shared" si="106"/>
        <v>45230</v>
      </c>
      <c r="P249" s="8">
        <f t="shared" si="106"/>
        <v>45260</v>
      </c>
      <c r="Q249" s="8">
        <f t="shared" si="106"/>
        <v>45291</v>
      </c>
      <c r="R249" s="8">
        <f t="shared" si="106"/>
        <v>45322</v>
      </c>
      <c r="S249" s="8">
        <f t="shared" si="106"/>
        <v>45351</v>
      </c>
      <c r="T249" s="8">
        <f t="shared" si="106"/>
        <v>45382</v>
      </c>
      <c r="U249" s="8">
        <f t="shared" si="106"/>
        <v>45412</v>
      </c>
      <c r="V249" s="8">
        <f t="shared" si="106"/>
        <v>45443</v>
      </c>
      <c r="W249" s="8">
        <f t="shared" si="106"/>
        <v>45473</v>
      </c>
      <c r="X249" s="8">
        <f t="shared" si="106"/>
        <v>45504</v>
      </c>
      <c r="Y249" s="8">
        <f t="shared" si="106"/>
        <v>45535</v>
      </c>
      <c r="Z249" s="8">
        <f t="shared" si="106"/>
        <v>45565</v>
      </c>
      <c r="AA249" s="8">
        <f t="shared" si="106"/>
        <v>45596</v>
      </c>
      <c r="AB249" s="8">
        <f t="shared" si="106"/>
        <v>45626</v>
      </c>
      <c r="AC249" s="8">
        <f t="shared" si="106"/>
        <v>45657</v>
      </c>
      <c r="AD249" s="8">
        <f t="shared" si="106"/>
        <v>45688</v>
      </c>
      <c r="AE249" s="8">
        <f t="shared" si="106"/>
        <v>45716</v>
      </c>
      <c r="AF249" s="8">
        <f t="shared" si="106"/>
        <v>45747</v>
      </c>
      <c r="AG249" s="8">
        <f t="shared" si="106"/>
        <v>45777</v>
      </c>
      <c r="AH249" s="8">
        <f t="shared" si="106"/>
        <v>45808</v>
      </c>
      <c r="AI249" s="8">
        <f t="shared" si="106"/>
        <v>45838</v>
      </c>
      <c r="AJ249" s="8">
        <f t="shared" si="106"/>
        <v>45869</v>
      </c>
      <c r="AK249" s="8">
        <f t="shared" si="106"/>
        <v>45900</v>
      </c>
      <c r="AL249" s="8">
        <f t="shared" si="106"/>
        <v>45930</v>
      </c>
      <c r="AM249" s="8">
        <f t="shared" si="106"/>
        <v>45961</v>
      </c>
      <c r="AN249" s="8">
        <f t="shared" si="106"/>
        <v>45991</v>
      </c>
      <c r="AO249" s="8">
        <f t="shared" si="106"/>
        <v>46022</v>
      </c>
      <c r="AP249" s="8">
        <f t="shared" si="106"/>
        <v>46053</v>
      </c>
      <c r="AQ249" s="8">
        <f t="shared" si="106"/>
        <v>46081</v>
      </c>
      <c r="AR249" s="8">
        <f t="shared" si="106"/>
        <v>46112</v>
      </c>
      <c r="AS249" s="8">
        <f t="shared" si="106"/>
        <v>46142</v>
      </c>
      <c r="AT249" s="8">
        <f t="shared" si="106"/>
        <v>46173</v>
      </c>
      <c r="AU249" s="8">
        <f t="shared" si="106"/>
        <v>46203</v>
      </c>
      <c r="AV249" s="8">
        <f t="shared" si="106"/>
        <v>46234</v>
      </c>
      <c r="AW249" s="8">
        <f t="shared" si="106"/>
        <v>46265</v>
      </c>
      <c r="AX249" s="8">
        <f t="shared" si="106"/>
        <v>46295</v>
      </c>
      <c r="AY249" s="8">
        <f t="shared" si="106"/>
        <v>46326</v>
      </c>
      <c r="AZ249" s="8">
        <f t="shared" si="106"/>
        <v>46356</v>
      </c>
      <c r="BA249" s="8">
        <f t="shared" si="106"/>
        <v>46387</v>
      </c>
      <c r="BB249" s="8">
        <f t="shared" si="106"/>
        <v>46418</v>
      </c>
      <c r="BC249" s="8">
        <f t="shared" si="106"/>
        <v>46446</v>
      </c>
      <c r="BD249" s="8">
        <f t="shared" si="106"/>
        <v>46477</v>
      </c>
      <c r="BE249" s="8">
        <f t="shared" si="106"/>
        <v>46507</v>
      </c>
      <c r="BF249" s="8">
        <f t="shared" si="106"/>
        <v>46538</v>
      </c>
      <c r="BG249" s="8">
        <f t="shared" si="106"/>
        <v>46568</v>
      </c>
      <c r="BH249" s="8">
        <f t="shared" si="106"/>
        <v>46599</v>
      </c>
      <c r="BI249" s="8">
        <f t="shared" si="106"/>
        <v>46630</v>
      </c>
      <c r="BJ249" s="8">
        <f t="shared" si="106"/>
        <v>46660</v>
      </c>
      <c r="BK249" s="8">
        <f t="shared" si="106"/>
        <v>46691</v>
      </c>
      <c r="BL249" s="8">
        <f t="shared" si="106"/>
        <v>46721</v>
      </c>
      <c r="BM249" s="8">
        <f t="shared" si="106"/>
        <v>46752</v>
      </c>
      <c r="BN249" s="8">
        <f t="shared" si="106"/>
        <v>46783</v>
      </c>
      <c r="BO249" s="8">
        <f t="shared" si="106"/>
        <v>46812</v>
      </c>
      <c r="BP249" s="8">
        <f t="shared" si="106"/>
        <v>46843</v>
      </c>
      <c r="BQ249" s="8">
        <f t="shared" si="106"/>
        <v>46873</v>
      </c>
    </row>
    <row r="250" spans="1:69" outlineLevel="2">
      <c r="E250" s="8" t="str">
        <f t="shared" ref="E250:BQ250" si="107" xml:space="preserve">  E$12</f>
        <v>Model period start</v>
      </c>
      <c r="F250" s="8">
        <f t="shared" si="107"/>
        <v>0</v>
      </c>
      <c r="G250" s="8" t="str">
        <f t="shared" si="107"/>
        <v>date</v>
      </c>
      <c r="H250" s="8">
        <f t="shared" si="107"/>
        <v>0</v>
      </c>
      <c r="I250" s="8">
        <f t="shared" si="107"/>
        <v>0</v>
      </c>
      <c r="J250" s="8">
        <f t="shared" si="107"/>
        <v>45047</v>
      </c>
      <c r="K250" s="8">
        <f t="shared" si="107"/>
        <v>45078</v>
      </c>
      <c r="L250" s="8">
        <f t="shared" si="107"/>
        <v>45108</v>
      </c>
      <c r="M250" s="8">
        <f t="shared" si="107"/>
        <v>45139</v>
      </c>
      <c r="N250" s="8">
        <f t="shared" si="107"/>
        <v>45170</v>
      </c>
      <c r="O250" s="8">
        <f t="shared" si="107"/>
        <v>45200</v>
      </c>
      <c r="P250" s="8">
        <f t="shared" si="107"/>
        <v>45231</v>
      </c>
      <c r="Q250" s="8">
        <f t="shared" si="107"/>
        <v>45261</v>
      </c>
      <c r="R250" s="8">
        <f t="shared" si="107"/>
        <v>45292</v>
      </c>
      <c r="S250" s="8">
        <f t="shared" si="107"/>
        <v>45323</v>
      </c>
      <c r="T250" s="8">
        <f t="shared" si="107"/>
        <v>45352</v>
      </c>
      <c r="U250" s="8">
        <f t="shared" si="107"/>
        <v>45383</v>
      </c>
      <c r="V250" s="8">
        <f t="shared" si="107"/>
        <v>45413</v>
      </c>
      <c r="W250" s="8">
        <f t="shared" si="107"/>
        <v>45444</v>
      </c>
      <c r="X250" s="8">
        <f t="shared" si="107"/>
        <v>45474</v>
      </c>
      <c r="Y250" s="8">
        <f t="shared" si="107"/>
        <v>45505</v>
      </c>
      <c r="Z250" s="8">
        <f t="shared" si="107"/>
        <v>45536</v>
      </c>
      <c r="AA250" s="8">
        <f t="shared" si="107"/>
        <v>45566</v>
      </c>
      <c r="AB250" s="8">
        <f t="shared" si="107"/>
        <v>45597</v>
      </c>
      <c r="AC250" s="8">
        <f t="shared" si="107"/>
        <v>45627</v>
      </c>
      <c r="AD250" s="8">
        <f t="shared" si="107"/>
        <v>45658</v>
      </c>
      <c r="AE250" s="8">
        <f t="shared" si="107"/>
        <v>45689</v>
      </c>
      <c r="AF250" s="8">
        <f t="shared" si="107"/>
        <v>45717</v>
      </c>
      <c r="AG250" s="8">
        <f t="shared" si="107"/>
        <v>45748</v>
      </c>
      <c r="AH250" s="8">
        <f t="shared" si="107"/>
        <v>45778</v>
      </c>
      <c r="AI250" s="8">
        <f t="shared" si="107"/>
        <v>45809</v>
      </c>
      <c r="AJ250" s="8">
        <f t="shared" si="107"/>
        <v>45839</v>
      </c>
      <c r="AK250" s="8">
        <f t="shared" si="107"/>
        <v>45870</v>
      </c>
      <c r="AL250" s="8">
        <f t="shared" si="107"/>
        <v>45901</v>
      </c>
      <c r="AM250" s="8">
        <f t="shared" si="107"/>
        <v>45931</v>
      </c>
      <c r="AN250" s="8">
        <f t="shared" si="107"/>
        <v>45962</v>
      </c>
      <c r="AO250" s="8">
        <f t="shared" si="107"/>
        <v>45992</v>
      </c>
      <c r="AP250" s="8">
        <f t="shared" si="107"/>
        <v>46023</v>
      </c>
      <c r="AQ250" s="8">
        <f t="shared" si="107"/>
        <v>46054</v>
      </c>
      <c r="AR250" s="8">
        <f t="shared" si="107"/>
        <v>46082</v>
      </c>
      <c r="AS250" s="8">
        <f t="shared" si="107"/>
        <v>46113</v>
      </c>
      <c r="AT250" s="8">
        <f t="shared" si="107"/>
        <v>46143</v>
      </c>
      <c r="AU250" s="8">
        <f t="shared" si="107"/>
        <v>46174</v>
      </c>
      <c r="AV250" s="8">
        <f t="shared" si="107"/>
        <v>46204</v>
      </c>
      <c r="AW250" s="8">
        <f t="shared" si="107"/>
        <v>46235</v>
      </c>
      <c r="AX250" s="8">
        <f t="shared" si="107"/>
        <v>46266</v>
      </c>
      <c r="AY250" s="8">
        <f t="shared" si="107"/>
        <v>46296</v>
      </c>
      <c r="AZ250" s="8">
        <f t="shared" si="107"/>
        <v>46327</v>
      </c>
      <c r="BA250" s="8">
        <f t="shared" si="107"/>
        <v>46357</v>
      </c>
      <c r="BB250" s="8">
        <f t="shared" si="107"/>
        <v>46388</v>
      </c>
      <c r="BC250" s="8">
        <f t="shared" si="107"/>
        <v>46419</v>
      </c>
      <c r="BD250" s="8">
        <f t="shared" si="107"/>
        <v>46447</v>
      </c>
      <c r="BE250" s="8">
        <f t="shared" si="107"/>
        <v>46478</v>
      </c>
      <c r="BF250" s="8">
        <f t="shared" si="107"/>
        <v>46508</v>
      </c>
      <c r="BG250" s="8">
        <f t="shared" si="107"/>
        <v>46539</v>
      </c>
      <c r="BH250" s="8">
        <f t="shared" si="107"/>
        <v>46569</v>
      </c>
      <c r="BI250" s="8">
        <f t="shared" si="107"/>
        <v>46600</v>
      </c>
      <c r="BJ250" s="8">
        <f t="shared" si="107"/>
        <v>46631</v>
      </c>
      <c r="BK250" s="8">
        <f t="shared" si="107"/>
        <v>46661</v>
      </c>
      <c r="BL250" s="8">
        <f t="shared" si="107"/>
        <v>46692</v>
      </c>
      <c r="BM250" s="8">
        <f t="shared" si="107"/>
        <v>46722</v>
      </c>
      <c r="BN250" s="8">
        <f t="shared" si="107"/>
        <v>46753</v>
      </c>
      <c r="BO250" s="8">
        <f t="shared" si="107"/>
        <v>46784</v>
      </c>
      <c r="BP250" s="8">
        <f t="shared" si="107"/>
        <v>46813</v>
      </c>
      <c r="BQ250" s="8">
        <f t="shared" si="107"/>
        <v>46844</v>
      </c>
    </row>
    <row r="251" spans="1:69" outlineLevel="2">
      <c r="A251" s="34"/>
      <c r="B251" s="34"/>
      <c r="C251" s="64"/>
      <c r="D251" s="65"/>
      <c r="E251" s="21" t="s">
        <v>107</v>
      </c>
      <c r="F251" s="21"/>
      <c r="G251" s="21" t="s">
        <v>20</v>
      </c>
      <c r="H251" s="3">
        <f xml:space="preserve"> SUM( J251:BQ251 )</f>
        <v>0</v>
      </c>
      <c r="I251" s="21"/>
      <c r="J251" s="3">
        <f t="shared" ref="J251:BQ251" si="108" xml:space="preserve">  IF( AND( J249 &gt;= $F247, J250 &lt;= $F248 ), 1, 0 )</f>
        <v>0</v>
      </c>
      <c r="K251" s="3">
        <f t="shared" si="108"/>
        <v>0</v>
      </c>
      <c r="L251" s="3">
        <f t="shared" si="108"/>
        <v>0</v>
      </c>
      <c r="M251" s="3">
        <f t="shared" si="108"/>
        <v>0</v>
      </c>
      <c r="N251" s="3">
        <f t="shared" si="108"/>
        <v>0</v>
      </c>
      <c r="O251" s="3">
        <f t="shared" si="108"/>
        <v>0</v>
      </c>
      <c r="P251" s="3">
        <f t="shared" si="108"/>
        <v>0</v>
      </c>
      <c r="Q251" s="3">
        <f t="shared" si="108"/>
        <v>0</v>
      </c>
      <c r="R251" s="3">
        <f t="shared" si="108"/>
        <v>0</v>
      </c>
      <c r="S251" s="3">
        <f t="shared" si="108"/>
        <v>0</v>
      </c>
      <c r="T251" s="3">
        <f t="shared" si="108"/>
        <v>0</v>
      </c>
      <c r="U251" s="3">
        <f t="shared" si="108"/>
        <v>0</v>
      </c>
      <c r="V251" s="3">
        <f t="shared" si="108"/>
        <v>0</v>
      </c>
      <c r="W251" s="3">
        <f t="shared" si="108"/>
        <v>0</v>
      </c>
      <c r="X251" s="3">
        <f t="shared" si="108"/>
        <v>0</v>
      </c>
      <c r="Y251" s="3">
        <f t="shared" si="108"/>
        <v>0</v>
      </c>
      <c r="Z251" s="3">
        <f t="shared" si="108"/>
        <v>0</v>
      </c>
      <c r="AA251" s="3">
        <f t="shared" si="108"/>
        <v>0</v>
      </c>
      <c r="AB251" s="3">
        <f t="shared" si="108"/>
        <v>0</v>
      </c>
      <c r="AC251" s="3">
        <f t="shared" si="108"/>
        <v>0</v>
      </c>
      <c r="AD251" s="3">
        <f t="shared" si="108"/>
        <v>0</v>
      </c>
      <c r="AE251" s="3">
        <f t="shared" si="108"/>
        <v>0</v>
      </c>
      <c r="AF251" s="3">
        <f t="shared" si="108"/>
        <v>0</v>
      </c>
      <c r="AG251" s="3">
        <f t="shared" si="108"/>
        <v>0</v>
      </c>
      <c r="AH251" s="3">
        <f t="shared" si="108"/>
        <v>0</v>
      </c>
      <c r="AI251" s="3">
        <f t="shared" si="108"/>
        <v>0</v>
      </c>
      <c r="AJ251" s="3">
        <f t="shared" si="108"/>
        <v>0</v>
      </c>
      <c r="AK251" s="3">
        <f t="shared" si="108"/>
        <v>0</v>
      </c>
      <c r="AL251" s="3">
        <f t="shared" si="108"/>
        <v>0</v>
      </c>
      <c r="AM251" s="3">
        <f t="shared" si="108"/>
        <v>0</v>
      </c>
      <c r="AN251" s="3">
        <f t="shared" si="108"/>
        <v>0</v>
      </c>
      <c r="AO251" s="3">
        <f t="shared" si="108"/>
        <v>0</v>
      </c>
      <c r="AP251" s="3">
        <f t="shared" si="108"/>
        <v>0</v>
      </c>
      <c r="AQ251" s="3">
        <f t="shared" si="108"/>
        <v>0</v>
      </c>
      <c r="AR251" s="3">
        <f t="shared" si="108"/>
        <v>0</v>
      </c>
      <c r="AS251" s="3">
        <f t="shared" si="108"/>
        <v>0</v>
      </c>
      <c r="AT251" s="3">
        <f t="shared" si="108"/>
        <v>0</v>
      </c>
      <c r="AU251" s="3">
        <f t="shared" si="108"/>
        <v>0</v>
      </c>
      <c r="AV251" s="3">
        <f t="shared" si="108"/>
        <v>0</v>
      </c>
      <c r="AW251" s="3">
        <f t="shared" si="108"/>
        <v>0</v>
      </c>
      <c r="AX251" s="3">
        <f t="shared" si="108"/>
        <v>0</v>
      </c>
      <c r="AY251" s="3">
        <f t="shared" si="108"/>
        <v>0</v>
      </c>
      <c r="AZ251" s="3">
        <f t="shared" si="108"/>
        <v>0</v>
      </c>
      <c r="BA251" s="3">
        <f t="shared" si="108"/>
        <v>0</v>
      </c>
      <c r="BB251" s="3">
        <f t="shared" si="108"/>
        <v>0</v>
      </c>
      <c r="BC251" s="3">
        <f t="shared" si="108"/>
        <v>0</v>
      </c>
      <c r="BD251" s="3">
        <f t="shared" si="108"/>
        <v>0</v>
      </c>
      <c r="BE251" s="3">
        <f t="shared" si="108"/>
        <v>0</v>
      </c>
      <c r="BF251" s="3">
        <f t="shared" si="108"/>
        <v>0</v>
      </c>
      <c r="BG251" s="3">
        <f t="shared" si="108"/>
        <v>0</v>
      </c>
      <c r="BH251" s="3">
        <f t="shared" si="108"/>
        <v>0</v>
      </c>
      <c r="BI251" s="3">
        <f t="shared" si="108"/>
        <v>0</v>
      </c>
      <c r="BJ251" s="3">
        <f t="shared" si="108"/>
        <v>0</v>
      </c>
      <c r="BK251" s="3">
        <f t="shared" si="108"/>
        <v>0</v>
      </c>
      <c r="BL251" s="3">
        <f t="shared" si="108"/>
        <v>0</v>
      </c>
      <c r="BM251" s="3">
        <f t="shared" si="108"/>
        <v>0</v>
      </c>
      <c r="BN251" s="3">
        <f t="shared" si="108"/>
        <v>0</v>
      </c>
      <c r="BO251" s="3">
        <f t="shared" si="108"/>
        <v>0</v>
      </c>
      <c r="BP251" s="3">
        <f t="shared" si="108"/>
        <v>0</v>
      </c>
      <c r="BQ251" s="3">
        <f t="shared" si="108"/>
        <v>0</v>
      </c>
    </row>
    <row r="252" spans="1:69" outlineLevel="1"/>
    <row r="254" spans="1:69">
      <c r="A254" s="25" t="s">
        <v>319</v>
      </c>
    </row>
    <row r="255" spans="1:69" outlineLevel="1">
      <c r="B255" s="25" t="s">
        <v>319</v>
      </c>
    </row>
    <row r="256" spans="1:69" outlineLevel="2">
      <c r="E256" s="2" t="str">
        <f t="shared" ref="E256:G256" si="109" xml:space="preserve">  E$271</f>
        <v>VAT return this period first period number constant</v>
      </c>
      <c r="F256" s="2">
        <f t="shared" si="109"/>
        <v>2</v>
      </c>
      <c r="G256" s="2">
        <f t="shared" si="109"/>
        <v>0</v>
      </c>
      <c r="M256" s="2"/>
    </row>
    <row r="257" spans="1:69" outlineLevel="2">
      <c r="A257" s="18"/>
      <c r="B257" s="18"/>
      <c r="C257" s="28"/>
      <c r="D257" s="27"/>
      <c r="E257" s="4" t="str">
        <f xml:space="preserve">  InpC!E$83</f>
        <v>VAT return this period every x periods</v>
      </c>
      <c r="F257" s="4">
        <f xml:space="preserve">  InpC!F$83</f>
        <v>3</v>
      </c>
      <c r="G257" s="4" t="str">
        <f xml:space="preserve">  InpC!G$83</f>
        <v>Months</v>
      </c>
      <c r="M257" s="2"/>
    </row>
    <row r="258" spans="1:69" outlineLevel="2">
      <c r="E258" s="2" t="str">
        <f t="shared" ref="E258:G258" si="110" xml:space="preserve">  E$266</f>
        <v>VAT return this period mod of period number</v>
      </c>
      <c r="F258" s="2">
        <f t="shared" si="110"/>
        <v>2</v>
      </c>
      <c r="G258" s="2">
        <f t="shared" si="110"/>
        <v>0</v>
      </c>
      <c r="M258" s="2"/>
    </row>
    <row r="259" spans="1:69" outlineLevel="2">
      <c r="E259" s="5" t="str">
        <f t="shared" ref="E259:BQ259" si="111" xml:space="preserve">  E$28</f>
        <v>Period number</v>
      </c>
      <c r="F259" s="5">
        <f t="shared" si="111"/>
        <v>0</v>
      </c>
      <c r="G259" s="5" t="str">
        <f t="shared" si="111"/>
        <v>Counter</v>
      </c>
      <c r="H259" s="5">
        <f t="shared" si="111"/>
        <v>0</v>
      </c>
      <c r="I259" s="5">
        <f t="shared" si="111"/>
        <v>0</v>
      </c>
      <c r="J259" s="5">
        <f t="shared" si="111"/>
        <v>1</v>
      </c>
      <c r="K259" s="5">
        <f t="shared" si="111"/>
        <v>2</v>
      </c>
      <c r="L259" s="5">
        <f t="shared" si="111"/>
        <v>3</v>
      </c>
      <c r="M259" s="5">
        <f t="shared" si="111"/>
        <v>4</v>
      </c>
      <c r="N259" s="5">
        <f t="shared" si="111"/>
        <v>5</v>
      </c>
      <c r="O259" s="5">
        <f t="shared" si="111"/>
        <v>6</v>
      </c>
      <c r="P259" s="5">
        <f t="shared" si="111"/>
        <v>7</v>
      </c>
      <c r="Q259" s="5">
        <f t="shared" si="111"/>
        <v>8</v>
      </c>
      <c r="R259" s="5">
        <f t="shared" si="111"/>
        <v>9</v>
      </c>
      <c r="S259" s="5">
        <f t="shared" si="111"/>
        <v>10</v>
      </c>
      <c r="T259" s="5">
        <f t="shared" si="111"/>
        <v>11</v>
      </c>
      <c r="U259" s="5">
        <f t="shared" si="111"/>
        <v>12</v>
      </c>
      <c r="V259" s="5">
        <f t="shared" si="111"/>
        <v>13</v>
      </c>
      <c r="W259" s="5">
        <f t="shared" si="111"/>
        <v>14</v>
      </c>
      <c r="X259" s="5">
        <f t="shared" si="111"/>
        <v>15</v>
      </c>
      <c r="Y259" s="5">
        <f t="shared" si="111"/>
        <v>16</v>
      </c>
      <c r="Z259" s="5">
        <f t="shared" si="111"/>
        <v>17</v>
      </c>
      <c r="AA259" s="5">
        <f t="shared" si="111"/>
        <v>18</v>
      </c>
      <c r="AB259" s="5">
        <f t="shared" si="111"/>
        <v>19</v>
      </c>
      <c r="AC259" s="5">
        <f t="shared" si="111"/>
        <v>20</v>
      </c>
      <c r="AD259" s="5">
        <f t="shared" si="111"/>
        <v>21</v>
      </c>
      <c r="AE259" s="5">
        <f t="shared" si="111"/>
        <v>22</v>
      </c>
      <c r="AF259" s="5">
        <f t="shared" si="111"/>
        <v>23</v>
      </c>
      <c r="AG259" s="5">
        <f t="shared" si="111"/>
        <v>24</v>
      </c>
      <c r="AH259" s="5">
        <f t="shared" si="111"/>
        <v>25</v>
      </c>
      <c r="AI259" s="5">
        <f t="shared" si="111"/>
        <v>26</v>
      </c>
      <c r="AJ259" s="5">
        <f t="shared" si="111"/>
        <v>27</v>
      </c>
      <c r="AK259" s="5">
        <f t="shared" si="111"/>
        <v>28</v>
      </c>
      <c r="AL259" s="5">
        <f t="shared" si="111"/>
        <v>29</v>
      </c>
      <c r="AM259" s="5">
        <f t="shared" si="111"/>
        <v>30</v>
      </c>
      <c r="AN259" s="5">
        <f t="shared" si="111"/>
        <v>31</v>
      </c>
      <c r="AO259" s="5">
        <f t="shared" si="111"/>
        <v>32</v>
      </c>
      <c r="AP259" s="5">
        <f t="shared" si="111"/>
        <v>33</v>
      </c>
      <c r="AQ259" s="5">
        <f t="shared" si="111"/>
        <v>34</v>
      </c>
      <c r="AR259" s="5">
        <f t="shared" si="111"/>
        <v>35</v>
      </c>
      <c r="AS259" s="5">
        <f t="shared" si="111"/>
        <v>36</v>
      </c>
      <c r="AT259" s="5">
        <f t="shared" si="111"/>
        <v>37</v>
      </c>
      <c r="AU259" s="5">
        <f t="shared" si="111"/>
        <v>38</v>
      </c>
      <c r="AV259" s="5">
        <f t="shared" si="111"/>
        <v>39</v>
      </c>
      <c r="AW259" s="5">
        <f t="shared" si="111"/>
        <v>40</v>
      </c>
      <c r="AX259" s="5">
        <f t="shared" si="111"/>
        <v>41</v>
      </c>
      <c r="AY259" s="5">
        <f t="shared" si="111"/>
        <v>42</v>
      </c>
      <c r="AZ259" s="5">
        <f t="shared" si="111"/>
        <v>43</v>
      </c>
      <c r="BA259" s="5">
        <f t="shared" si="111"/>
        <v>44</v>
      </c>
      <c r="BB259" s="5">
        <f t="shared" si="111"/>
        <v>45</v>
      </c>
      <c r="BC259" s="5">
        <f t="shared" si="111"/>
        <v>46</v>
      </c>
      <c r="BD259" s="5">
        <f t="shared" si="111"/>
        <v>47</v>
      </c>
      <c r="BE259" s="5">
        <f t="shared" si="111"/>
        <v>48</v>
      </c>
      <c r="BF259" s="5">
        <f t="shared" si="111"/>
        <v>49</v>
      </c>
      <c r="BG259" s="5">
        <f t="shared" si="111"/>
        <v>50</v>
      </c>
      <c r="BH259" s="5">
        <f t="shared" si="111"/>
        <v>51</v>
      </c>
      <c r="BI259" s="5">
        <f t="shared" si="111"/>
        <v>52</v>
      </c>
      <c r="BJ259" s="5">
        <f t="shared" si="111"/>
        <v>53</v>
      </c>
      <c r="BK259" s="5">
        <f t="shared" si="111"/>
        <v>54</v>
      </c>
      <c r="BL259" s="5">
        <f t="shared" si="111"/>
        <v>55</v>
      </c>
      <c r="BM259" s="5">
        <f t="shared" si="111"/>
        <v>56</v>
      </c>
      <c r="BN259" s="5">
        <f t="shared" si="111"/>
        <v>57</v>
      </c>
      <c r="BO259" s="5">
        <f t="shared" si="111"/>
        <v>58</v>
      </c>
      <c r="BP259" s="5">
        <f t="shared" si="111"/>
        <v>59</v>
      </c>
      <c r="BQ259" s="5">
        <f t="shared" si="111"/>
        <v>60</v>
      </c>
    </row>
    <row r="260" spans="1:69" outlineLevel="2">
      <c r="A260" s="34"/>
      <c r="B260" s="34"/>
      <c r="C260" s="64"/>
      <c r="D260" s="65"/>
      <c r="E260" s="21" t="s">
        <v>319</v>
      </c>
      <c r="F260" s="21"/>
      <c r="G260" s="21" t="s">
        <v>20</v>
      </c>
      <c r="H260" s="3">
        <f xml:space="preserve"> SUM( J260:BQ260 )</f>
        <v>20</v>
      </c>
      <c r="I260" s="21"/>
      <c r="J260" s="3">
        <f t="shared" ref="J260:BQ260" si="112" xml:space="preserve">  IF( AND( J259 &gt;= $F256, MOD( J259, $F257 ) = $F258 ), 1, 0 )</f>
        <v>0</v>
      </c>
      <c r="K260" s="3">
        <f t="shared" si="112"/>
        <v>1</v>
      </c>
      <c r="L260" s="3">
        <f t="shared" si="112"/>
        <v>0</v>
      </c>
      <c r="M260" s="3">
        <f t="shared" si="112"/>
        <v>0</v>
      </c>
      <c r="N260" s="3">
        <f t="shared" si="112"/>
        <v>1</v>
      </c>
      <c r="O260" s="3">
        <f t="shared" si="112"/>
        <v>0</v>
      </c>
      <c r="P260" s="3">
        <f t="shared" si="112"/>
        <v>0</v>
      </c>
      <c r="Q260" s="3">
        <f t="shared" si="112"/>
        <v>1</v>
      </c>
      <c r="R260" s="3">
        <f t="shared" si="112"/>
        <v>0</v>
      </c>
      <c r="S260" s="3">
        <f t="shared" si="112"/>
        <v>0</v>
      </c>
      <c r="T260" s="3">
        <f t="shared" si="112"/>
        <v>1</v>
      </c>
      <c r="U260" s="3">
        <f t="shared" si="112"/>
        <v>0</v>
      </c>
      <c r="V260" s="3">
        <f t="shared" si="112"/>
        <v>0</v>
      </c>
      <c r="W260" s="3">
        <f t="shared" si="112"/>
        <v>1</v>
      </c>
      <c r="X260" s="3">
        <f t="shared" si="112"/>
        <v>0</v>
      </c>
      <c r="Y260" s="3">
        <f t="shared" si="112"/>
        <v>0</v>
      </c>
      <c r="Z260" s="3">
        <f t="shared" si="112"/>
        <v>1</v>
      </c>
      <c r="AA260" s="3">
        <f t="shared" si="112"/>
        <v>0</v>
      </c>
      <c r="AB260" s="3">
        <f t="shared" si="112"/>
        <v>0</v>
      </c>
      <c r="AC260" s="3">
        <f t="shared" si="112"/>
        <v>1</v>
      </c>
      <c r="AD260" s="3">
        <f t="shared" si="112"/>
        <v>0</v>
      </c>
      <c r="AE260" s="3">
        <f t="shared" si="112"/>
        <v>0</v>
      </c>
      <c r="AF260" s="3">
        <f t="shared" si="112"/>
        <v>1</v>
      </c>
      <c r="AG260" s="3">
        <f t="shared" si="112"/>
        <v>0</v>
      </c>
      <c r="AH260" s="3">
        <f t="shared" si="112"/>
        <v>0</v>
      </c>
      <c r="AI260" s="3">
        <f t="shared" si="112"/>
        <v>1</v>
      </c>
      <c r="AJ260" s="3">
        <f t="shared" si="112"/>
        <v>0</v>
      </c>
      <c r="AK260" s="3">
        <f t="shared" si="112"/>
        <v>0</v>
      </c>
      <c r="AL260" s="3">
        <f t="shared" si="112"/>
        <v>1</v>
      </c>
      <c r="AM260" s="3">
        <f t="shared" si="112"/>
        <v>0</v>
      </c>
      <c r="AN260" s="3">
        <f t="shared" si="112"/>
        <v>0</v>
      </c>
      <c r="AO260" s="3">
        <f t="shared" si="112"/>
        <v>1</v>
      </c>
      <c r="AP260" s="3">
        <f t="shared" si="112"/>
        <v>0</v>
      </c>
      <c r="AQ260" s="3">
        <f t="shared" si="112"/>
        <v>0</v>
      </c>
      <c r="AR260" s="3">
        <f t="shared" si="112"/>
        <v>1</v>
      </c>
      <c r="AS260" s="3">
        <f t="shared" si="112"/>
        <v>0</v>
      </c>
      <c r="AT260" s="3">
        <f t="shared" si="112"/>
        <v>0</v>
      </c>
      <c r="AU260" s="3">
        <f t="shared" si="112"/>
        <v>1</v>
      </c>
      <c r="AV260" s="3">
        <f t="shared" si="112"/>
        <v>0</v>
      </c>
      <c r="AW260" s="3">
        <f t="shared" si="112"/>
        <v>0</v>
      </c>
      <c r="AX260" s="3">
        <f t="shared" si="112"/>
        <v>1</v>
      </c>
      <c r="AY260" s="3">
        <f t="shared" si="112"/>
        <v>0</v>
      </c>
      <c r="AZ260" s="3">
        <f t="shared" si="112"/>
        <v>0</v>
      </c>
      <c r="BA260" s="3">
        <f t="shared" si="112"/>
        <v>1</v>
      </c>
      <c r="BB260" s="3">
        <f t="shared" si="112"/>
        <v>0</v>
      </c>
      <c r="BC260" s="3">
        <f t="shared" si="112"/>
        <v>0</v>
      </c>
      <c r="BD260" s="3">
        <f t="shared" si="112"/>
        <v>1</v>
      </c>
      <c r="BE260" s="3">
        <f t="shared" si="112"/>
        <v>0</v>
      </c>
      <c r="BF260" s="3">
        <f t="shared" si="112"/>
        <v>0</v>
      </c>
      <c r="BG260" s="3">
        <f t="shared" si="112"/>
        <v>1</v>
      </c>
      <c r="BH260" s="3">
        <f t="shared" si="112"/>
        <v>0</v>
      </c>
      <c r="BI260" s="3">
        <f t="shared" si="112"/>
        <v>0</v>
      </c>
      <c r="BJ260" s="3">
        <f t="shared" si="112"/>
        <v>1</v>
      </c>
      <c r="BK260" s="3">
        <f t="shared" si="112"/>
        <v>0</v>
      </c>
      <c r="BL260" s="3">
        <f t="shared" si="112"/>
        <v>0</v>
      </c>
      <c r="BM260" s="3">
        <f t="shared" si="112"/>
        <v>1</v>
      </c>
      <c r="BN260" s="3">
        <f t="shared" si="112"/>
        <v>0</v>
      </c>
      <c r="BO260" s="3">
        <f t="shared" si="112"/>
        <v>0</v>
      </c>
      <c r="BP260" s="3">
        <f t="shared" si="112"/>
        <v>1</v>
      </c>
      <c r="BQ260" s="3">
        <f t="shared" si="112"/>
        <v>0</v>
      </c>
    </row>
    <row r="261" spans="1:69" outlineLevel="1"/>
    <row r="262" spans="1:69" outlineLevel="1"/>
    <row r="263" spans="1:69" outlineLevel="1">
      <c r="B263" s="25" t="s">
        <v>108</v>
      </c>
    </row>
    <row r="264" spans="1:69" outlineLevel="2">
      <c r="E264" s="2" t="str">
        <f t="shared" ref="E264:G264" si="113" xml:space="preserve">  E$271</f>
        <v>VAT return this period first period number constant</v>
      </c>
      <c r="F264" s="2">
        <f t="shared" si="113"/>
        <v>2</v>
      </c>
      <c r="G264" s="2">
        <f t="shared" si="113"/>
        <v>0</v>
      </c>
      <c r="M264" s="2"/>
    </row>
    <row r="265" spans="1:69" outlineLevel="2">
      <c r="A265" s="18"/>
      <c r="B265" s="18"/>
      <c r="C265" s="28"/>
      <c r="D265" s="27"/>
      <c r="E265" s="4" t="str">
        <f xml:space="preserve">  InpC!E$83</f>
        <v>VAT return this period every x periods</v>
      </c>
      <c r="F265" s="4">
        <f xml:space="preserve">  InpC!F$83</f>
        <v>3</v>
      </c>
      <c r="G265" s="4" t="str">
        <f xml:space="preserve">  InpC!G$83</f>
        <v>Months</v>
      </c>
      <c r="M265" s="2"/>
    </row>
    <row r="266" spans="1:69" outlineLevel="2">
      <c r="E266" s="47" t="s">
        <v>108</v>
      </c>
      <c r="F266" s="2">
        <f xml:space="preserve">  MOD( $F264, $F265 )</f>
        <v>2</v>
      </c>
      <c r="M266" s="2"/>
    </row>
    <row r="267" spans="1:69" outlineLevel="1"/>
    <row r="268" spans="1:69" outlineLevel="1"/>
    <row r="269" spans="1:69" outlineLevel="1">
      <c r="B269" s="25" t="s">
        <v>78</v>
      </c>
    </row>
    <row r="270" spans="1:69" outlineLevel="2">
      <c r="E270" s="2" t="str">
        <f t="shared" ref="E270:BQ270" si="114" xml:space="preserve">  E$277</f>
        <v>VAT return this period first period number</v>
      </c>
      <c r="F270" s="2">
        <f t="shared" si="114"/>
        <v>0</v>
      </c>
      <c r="G270" s="2">
        <f t="shared" si="114"/>
        <v>0</v>
      </c>
      <c r="H270" s="2">
        <f t="shared" si="114"/>
        <v>2</v>
      </c>
      <c r="I270" s="2">
        <f t="shared" si="114"/>
        <v>0</v>
      </c>
      <c r="J270" s="2">
        <f t="shared" si="114"/>
        <v>0</v>
      </c>
      <c r="K270" s="2">
        <f t="shared" si="114"/>
        <v>2</v>
      </c>
      <c r="L270" s="2">
        <f t="shared" si="114"/>
        <v>0</v>
      </c>
      <c r="M270" s="2">
        <f t="shared" si="114"/>
        <v>0</v>
      </c>
      <c r="N270" s="2">
        <f t="shared" si="114"/>
        <v>0</v>
      </c>
      <c r="O270" s="2">
        <f t="shared" si="114"/>
        <v>0</v>
      </c>
      <c r="P270" s="2">
        <f t="shared" si="114"/>
        <v>0</v>
      </c>
      <c r="Q270" s="2">
        <f t="shared" si="114"/>
        <v>0</v>
      </c>
      <c r="R270" s="2">
        <f t="shared" si="114"/>
        <v>0</v>
      </c>
      <c r="S270" s="2">
        <f t="shared" si="114"/>
        <v>0</v>
      </c>
      <c r="T270" s="2">
        <f t="shared" si="114"/>
        <v>0</v>
      </c>
      <c r="U270" s="2">
        <f t="shared" si="114"/>
        <v>0</v>
      </c>
      <c r="V270" s="2">
        <f t="shared" si="114"/>
        <v>0</v>
      </c>
      <c r="W270" s="2">
        <f t="shared" si="114"/>
        <v>0</v>
      </c>
      <c r="X270" s="2">
        <f t="shared" si="114"/>
        <v>0</v>
      </c>
      <c r="Y270" s="2">
        <f t="shared" si="114"/>
        <v>0</v>
      </c>
      <c r="Z270" s="2">
        <f t="shared" si="114"/>
        <v>0</v>
      </c>
      <c r="AA270" s="2">
        <f t="shared" si="114"/>
        <v>0</v>
      </c>
      <c r="AB270" s="2">
        <f t="shared" si="114"/>
        <v>0</v>
      </c>
      <c r="AC270" s="2">
        <f t="shared" si="114"/>
        <v>0</v>
      </c>
      <c r="AD270" s="2">
        <f t="shared" si="114"/>
        <v>0</v>
      </c>
      <c r="AE270" s="2">
        <f t="shared" si="114"/>
        <v>0</v>
      </c>
      <c r="AF270" s="2">
        <f t="shared" si="114"/>
        <v>0</v>
      </c>
      <c r="AG270" s="2">
        <f t="shared" si="114"/>
        <v>0</v>
      </c>
      <c r="AH270" s="2">
        <f t="shared" si="114"/>
        <v>0</v>
      </c>
      <c r="AI270" s="2">
        <f t="shared" si="114"/>
        <v>0</v>
      </c>
      <c r="AJ270" s="2">
        <f t="shared" si="114"/>
        <v>0</v>
      </c>
      <c r="AK270" s="2">
        <f t="shared" si="114"/>
        <v>0</v>
      </c>
      <c r="AL270" s="2">
        <f t="shared" si="114"/>
        <v>0</v>
      </c>
      <c r="AM270" s="2">
        <f t="shared" si="114"/>
        <v>0</v>
      </c>
      <c r="AN270" s="2">
        <f t="shared" si="114"/>
        <v>0</v>
      </c>
      <c r="AO270" s="2">
        <f t="shared" si="114"/>
        <v>0</v>
      </c>
      <c r="AP270" s="2">
        <f t="shared" si="114"/>
        <v>0</v>
      </c>
      <c r="AQ270" s="2">
        <f t="shared" si="114"/>
        <v>0</v>
      </c>
      <c r="AR270" s="2">
        <f t="shared" si="114"/>
        <v>0</v>
      </c>
      <c r="AS270" s="2">
        <f t="shared" si="114"/>
        <v>0</v>
      </c>
      <c r="AT270" s="2">
        <f t="shared" si="114"/>
        <v>0</v>
      </c>
      <c r="AU270" s="2">
        <f t="shared" si="114"/>
        <v>0</v>
      </c>
      <c r="AV270" s="2">
        <f t="shared" si="114"/>
        <v>0</v>
      </c>
      <c r="AW270" s="2">
        <f t="shared" si="114"/>
        <v>0</v>
      </c>
      <c r="AX270" s="2">
        <f t="shared" si="114"/>
        <v>0</v>
      </c>
      <c r="AY270" s="2">
        <f t="shared" si="114"/>
        <v>0</v>
      </c>
      <c r="AZ270" s="2">
        <f t="shared" si="114"/>
        <v>0</v>
      </c>
      <c r="BA270" s="2">
        <f t="shared" si="114"/>
        <v>0</v>
      </c>
      <c r="BB270" s="2">
        <f t="shared" si="114"/>
        <v>0</v>
      </c>
      <c r="BC270" s="2">
        <f t="shared" si="114"/>
        <v>0</v>
      </c>
      <c r="BD270" s="2">
        <f t="shared" si="114"/>
        <v>0</v>
      </c>
      <c r="BE270" s="2">
        <f t="shared" si="114"/>
        <v>0</v>
      </c>
      <c r="BF270" s="2">
        <f t="shared" si="114"/>
        <v>0</v>
      </c>
      <c r="BG270" s="2">
        <f t="shared" si="114"/>
        <v>0</v>
      </c>
      <c r="BH270" s="2">
        <f t="shared" si="114"/>
        <v>0</v>
      </c>
      <c r="BI270" s="2">
        <f t="shared" si="114"/>
        <v>0</v>
      </c>
      <c r="BJ270" s="2">
        <f t="shared" si="114"/>
        <v>0</v>
      </c>
      <c r="BK270" s="2">
        <f t="shared" si="114"/>
        <v>0</v>
      </c>
      <c r="BL270" s="2">
        <f t="shared" si="114"/>
        <v>0</v>
      </c>
      <c r="BM270" s="2">
        <f t="shared" si="114"/>
        <v>0</v>
      </c>
      <c r="BN270" s="2">
        <f t="shared" si="114"/>
        <v>0</v>
      </c>
      <c r="BO270" s="2">
        <f t="shared" si="114"/>
        <v>0</v>
      </c>
      <c r="BP270" s="2">
        <f t="shared" si="114"/>
        <v>0</v>
      </c>
      <c r="BQ270" s="2">
        <f t="shared" si="114"/>
        <v>0</v>
      </c>
    </row>
    <row r="271" spans="1:69" outlineLevel="2">
      <c r="E271" s="47" t="s">
        <v>78</v>
      </c>
      <c r="F271" s="2">
        <f xml:space="preserve">  SUM( $J270:$BQ270 )</f>
        <v>2</v>
      </c>
      <c r="M271" s="2"/>
    </row>
    <row r="272" spans="1:69" outlineLevel="1"/>
    <row r="273" spans="1:69" outlineLevel="1"/>
    <row r="274" spans="1:69" outlineLevel="1">
      <c r="B274" s="25" t="s">
        <v>33</v>
      </c>
    </row>
    <row r="275" spans="1:69" outlineLevel="2">
      <c r="E275" s="5" t="str">
        <f t="shared" ref="E275:BQ275" si="115" xml:space="preserve">  E$28</f>
        <v>Period number</v>
      </c>
      <c r="F275" s="5">
        <f t="shared" si="115"/>
        <v>0</v>
      </c>
      <c r="G275" s="5" t="str">
        <f t="shared" si="115"/>
        <v>Counter</v>
      </c>
      <c r="H275" s="5">
        <f t="shared" si="115"/>
        <v>0</v>
      </c>
      <c r="I275" s="5">
        <f t="shared" si="115"/>
        <v>0</v>
      </c>
      <c r="J275" s="5">
        <f t="shared" si="115"/>
        <v>1</v>
      </c>
      <c r="K275" s="5">
        <f t="shared" si="115"/>
        <v>2</v>
      </c>
      <c r="L275" s="5">
        <f t="shared" si="115"/>
        <v>3</v>
      </c>
      <c r="M275" s="5">
        <f t="shared" si="115"/>
        <v>4</v>
      </c>
      <c r="N275" s="5">
        <f t="shared" si="115"/>
        <v>5</v>
      </c>
      <c r="O275" s="5">
        <f t="shared" si="115"/>
        <v>6</v>
      </c>
      <c r="P275" s="5">
        <f t="shared" si="115"/>
        <v>7</v>
      </c>
      <c r="Q275" s="5">
        <f t="shared" si="115"/>
        <v>8</v>
      </c>
      <c r="R275" s="5">
        <f t="shared" si="115"/>
        <v>9</v>
      </c>
      <c r="S275" s="5">
        <f t="shared" si="115"/>
        <v>10</v>
      </c>
      <c r="T275" s="5">
        <f t="shared" si="115"/>
        <v>11</v>
      </c>
      <c r="U275" s="5">
        <f t="shared" si="115"/>
        <v>12</v>
      </c>
      <c r="V275" s="5">
        <f t="shared" si="115"/>
        <v>13</v>
      </c>
      <c r="W275" s="5">
        <f t="shared" si="115"/>
        <v>14</v>
      </c>
      <c r="X275" s="5">
        <f t="shared" si="115"/>
        <v>15</v>
      </c>
      <c r="Y275" s="5">
        <f t="shared" si="115"/>
        <v>16</v>
      </c>
      <c r="Z275" s="5">
        <f t="shared" si="115"/>
        <v>17</v>
      </c>
      <c r="AA275" s="5">
        <f t="shared" si="115"/>
        <v>18</v>
      </c>
      <c r="AB275" s="5">
        <f t="shared" si="115"/>
        <v>19</v>
      </c>
      <c r="AC275" s="5">
        <f t="shared" si="115"/>
        <v>20</v>
      </c>
      <c r="AD275" s="5">
        <f t="shared" si="115"/>
        <v>21</v>
      </c>
      <c r="AE275" s="5">
        <f t="shared" si="115"/>
        <v>22</v>
      </c>
      <c r="AF275" s="5">
        <f t="shared" si="115"/>
        <v>23</v>
      </c>
      <c r="AG275" s="5">
        <f t="shared" si="115"/>
        <v>24</v>
      </c>
      <c r="AH275" s="5">
        <f t="shared" si="115"/>
        <v>25</v>
      </c>
      <c r="AI275" s="5">
        <f t="shared" si="115"/>
        <v>26</v>
      </c>
      <c r="AJ275" s="5">
        <f t="shared" si="115"/>
        <v>27</v>
      </c>
      <c r="AK275" s="5">
        <f t="shared" si="115"/>
        <v>28</v>
      </c>
      <c r="AL275" s="5">
        <f t="shared" si="115"/>
        <v>29</v>
      </c>
      <c r="AM275" s="5">
        <f t="shared" si="115"/>
        <v>30</v>
      </c>
      <c r="AN275" s="5">
        <f t="shared" si="115"/>
        <v>31</v>
      </c>
      <c r="AO275" s="5">
        <f t="shared" si="115"/>
        <v>32</v>
      </c>
      <c r="AP275" s="5">
        <f t="shared" si="115"/>
        <v>33</v>
      </c>
      <c r="AQ275" s="5">
        <f t="shared" si="115"/>
        <v>34</v>
      </c>
      <c r="AR275" s="5">
        <f t="shared" si="115"/>
        <v>35</v>
      </c>
      <c r="AS275" s="5">
        <f t="shared" si="115"/>
        <v>36</v>
      </c>
      <c r="AT275" s="5">
        <f t="shared" si="115"/>
        <v>37</v>
      </c>
      <c r="AU275" s="5">
        <f t="shared" si="115"/>
        <v>38</v>
      </c>
      <c r="AV275" s="5">
        <f t="shared" si="115"/>
        <v>39</v>
      </c>
      <c r="AW275" s="5">
        <f t="shared" si="115"/>
        <v>40</v>
      </c>
      <c r="AX275" s="5">
        <f t="shared" si="115"/>
        <v>41</v>
      </c>
      <c r="AY275" s="5">
        <f t="shared" si="115"/>
        <v>42</v>
      </c>
      <c r="AZ275" s="5">
        <f t="shared" si="115"/>
        <v>43</v>
      </c>
      <c r="BA275" s="5">
        <f t="shared" si="115"/>
        <v>44</v>
      </c>
      <c r="BB275" s="5">
        <f t="shared" si="115"/>
        <v>45</v>
      </c>
      <c r="BC275" s="5">
        <f t="shared" si="115"/>
        <v>46</v>
      </c>
      <c r="BD275" s="5">
        <f t="shared" si="115"/>
        <v>47</v>
      </c>
      <c r="BE275" s="5">
        <f t="shared" si="115"/>
        <v>48</v>
      </c>
      <c r="BF275" s="5">
        <f t="shared" si="115"/>
        <v>49</v>
      </c>
      <c r="BG275" s="5">
        <f t="shared" si="115"/>
        <v>50</v>
      </c>
      <c r="BH275" s="5">
        <f t="shared" si="115"/>
        <v>51</v>
      </c>
      <c r="BI275" s="5">
        <f t="shared" si="115"/>
        <v>52</v>
      </c>
      <c r="BJ275" s="5">
        <f t="shared" si="115"/>
        <v>53</v>
      </c>
      <c r="BK275" s="5">
        <f t="shared" si="115"/>
        <v>54</v>
      </c>
      <c r="BL275" s="5">
        <f t="shared" si="115"/>
        <v>55</v>
      </c>
      <c r="BM275" s="5">
        <f t="shared" si="115"/>
        <v>56</v>
      </c>
      <c r="BN275" s="5">
        <f t="shared" si="115"/>
        <v>57</v>
      </c>
      <c r="BO275" s="5">
        <f t="shared" si="115"/>
        <v>58</v>
      </c>
      <c r="BP275" s="5">
        <f t="shared" si="115"/>
        <v>59</v>
      </c>
      <c r="BQ275" s="5">
        <f t="shared" si="115"/>
        <v>60</v>
      </c>
    </row>
    <row r="276" spans="1:69" outlineLevel="2">
      <c r="E276" s="2" t="str">
        <f t="shared" ref="E276:BQ276" si="116" xml:space="preserve">  E$284</f>
        <v>VAT return this period first period flag</v>
      </c>
      <c r="F276" s="2">
        <f t="shared" si="116"/>
        <v>0</v>
      </c>
      <c r="G276" s="2" t="str">
        <f t="shared" si="116"/>
        <v>flag</v>
      </c>
      <c r="H276" s="2">
        <f t="shared" si="116"/>
        <v>1</v>
      </c>
      <c r="I276" s="2">
        <f t="shared" si="116"/>
        <v>0</v>
      </c>
      <c r="J276" s="2">
        <f t="shared" si="116"/>
        <v>0</v>
      </c>
      <c r="K276" s="2">
        <f t="shared" si="116"/>
        <v>1</v>
      </c>
      <c r="L276" s="2">
        <f t="shared" si="116"/>
        <v>0</v>
      </c>
      <c r="M276" s="2">
        <f t="shared" si="116"/>
        <v>0</v>
      </c>
      <c r="N276" s="2">
        <f t="shared" si="116"/>
        <v>0</v>
      </c>
      <c r="O276" s="2">
        <f t="shared" si="116"/>
        <v>0</v>
      </c>
      <c r="P276" s="2">
        <f t="shared" si="116"/>
        <v>0</v>
      </c>
      <c r="Q276" s="2">
        <f t="shared" si="116"/>
        <v>0</v>
      </c>
      <c r="R276" s="2">
        <f t="shared" si="116"/>
        <v>0</v>
      </c>
      <c r="S276" s="2">
        <f t="shared" si="116"/>
        <v>0</v>
      </c>
      <c r="T276" s="2">
        <f t="shared" si="116"/>
        <v>0</v>
      </c>
      <c r="U276" s="2">
        <f t="shared" si="116"/>
        <v>0</v>
      </c>
      <c r="V276" s="2">
        <f t="shared" si="116"/>
        <v>0</v>
      </c>
      <c r="W276" s="2">
        <f t="shared" si="116"/>
        <v>0</v>
      </c>
      <c r="X276" s="2">
        <f t="shared" si="116"/>
        <v>0</v>
      </c>
      <c r="Y276" s="2">
        <f t="shared" si="116"/>
        <v>0</v>
      </c>
      <c r="Z276" s="2">
        <f t="shared" si="116"/>
        <v>0</v>
      </c>
      <c r="AA276" s="2">
        <f t="shared" si="116"/>
        <v>0</v>
      </c>
      <c r="AB276" s="2">
        <f t="shared" si="116"/>
        <v>0</v>
      </c>
      <c r="AC276" s="2">
        <f t="shared" si="116"/>
        <v>0</v>
      </c>
      <c r="AD276" s="2">
        <f t="shared" si="116"/>
        <v>0</v>
      </c>
      <c r="AE276" s="2">
        <f t="shared" si="116"/>
        <v>0</v>
      </c>
      <c r="AF276" s="2">
        <f t="shared" si="116"/>
        <v>0</v>
      </c>
      <c r="AG276" s="2">
        <f t="shared" si="116"/>
        <v>0</v>
      </c>
      <c r="AH276" s="2">
        <f t="shared" si="116"/>
        <v>0</v>
      </c>
      <c r="AI276" s="2">
        <f t="shared" si="116"/>
        <v>0</v>
      </c>
      <c r="AJ276" s="2">
        <f t="shared" si="116"/>
        <v>0</v>
      </c>
      <c r="AK276" s="2">
        <f t="shared" si="116"/>
        <v>0</v>
      </c>
      <c r="AL276" s="2">
        <f t="shared" si="116"/>
        <v>0</v>
      </c>
      <c r="AM276" s="2">
        <f t="shared" si="116"/>
        <v>0</v>
      </c>
      <c r="AN276" s="2">
        <f t="shared" si="116"/>
        <v>0</v>
      </c>
      <c r="AO276" s="2">
        <f t="shared" si="116"/>
        <v>0</v>
      </c>
      <c r="AP276" s="2">
        <f t="shared" si="116"/>
        <v>0</v>
      </c>
      <c r="AQ276" s="2">
        <f t="shared" si="116"/>
        <v>0</v>
      </c>
      <c r="AR276" s="2">
        <f t="shared" si="116"/>
        <v>0</v>
      </c>
      <c r="AS276" s="2">
        <f t="shared" si="116"/>
        <v>0</v>
      </c>
      <c r="AT276" s="2">
        <f t="shared" si="116"/>
        <v>0</v>
      </c>
      <c r="AU276" s="2">
        <f t="shared" si="116"/>
        <v>0</v>
      </c>
      <c r="AV276" s="2">
        <f t="shared" si="116"/>
        <v>0</v>
      </c>
      <c r="AW276" s="2">
        <f t="shared" si="116"/>
        <v>0</v>
      </c>
      <c r="AX276" s="2">
        <f t="shared" si="116"/>
        <v>0</v>
      </c>
      <c r="AY276" s="2">
        <f t="shared" si="116"/>
        <v>0</v>
      </c>
      <c r="AZ276" s="2">
        <f t="shared" si="116"/>
        <v>0</v>
      </c>
      <c r="BA276" s="2">
        <f t="shared" si="116"/>
        <v>0</v>
      </c>
      <c r="BB276" s="2">
        <f t="shared" si="116"/>
        <v>0</v>
      </c>
      <c r="BC276" s="2">
        <f t="shared" si="116"/>
        <v>0</v>
      </c>
      <c r="BD276" s="2">
        <f t="shared" si="116"/>
        <v>0</v>
      </c>
      <c r="BE276" s="2">
        <f t="shared" si="116"/>
        <v>0</v>
      </c>
      <c r="BF276" s="2">
        <f t="shared" si="116"/>
        <v>0</v>
      </c>
      <c r="BG276" s="2">
        <f t="shared" si="116"/>
        <v>0</v>
      </c>
      <c r="BH276" s="2">
        <f t="shared" si="116"/>
        <v>0</v>
      </c>
      <c r="BI276" s="2">
        <f t="shared" si="116"/>
        <v>0</v>
      </c>
      <c r="BJ276" s="2">
        <f t="shared" si="116"/>
        <v>0</v>
      </c>
      <c r="BK276" s="2">
        <f t="shared" si="116"/>
        <v>0</v>
      </c>
      <c r="BL276" s="2">
        <f t="shared" si="116"/>
        <v>0</v>
      </c>
      <c r="BM276" s="2">
        <f t="shared" si="116"/>
        <v>0</v>
      </c>
      <c r="BN276" s="2">
        <f t="shared" si="116"/>
        <v>0</v>
      </c>
      <c r="BO276" s="2">
        <f t="shared" si="116"/>
        <v>0</v>
      </c>
      <c r="BP276" s="2">
        <f t="shared" si="116"/>
        <v>0</v>
      </c>
      <c r="BQ276" s="2">
        <f t="shared" si="116"/>
        <v>0</v>
      </c>
    </row>
    <row r="277" spans="1:69" outlineLevel="2">
      <c r="E277" s="47" t="s">
        <v>33</v>
      </c>
      <c r="H277" s="2">
        <f xml:space="preserve"> SUM( J277:BQ277 )</f>
        <v>2</v>
      </c>
      <c r="J277" s="2">
        <f t="shared" ref="J277:BQ277" si="117" xml:space="preserve">  J275 * J276</f>
        <v>0</v>
      </c>
      <c r="K277" s="2">
        <f t="shared" si="117"/>
        <v>2</v>
      </c>
      <c r="L277" s="2">
        <f t="shared" si="117"/>
        <v>0</v>
      </c>
      <c r="M277" s="2">
        <f t="shared" si="117"/>
        <v>0</v>
      </c>
      <c r="N277" s="2">
        <f t="shared" si="117"/>
        <v>0</v>
      </c>
      <c r="O277" s="2">
        <f t="shared" si="117"/>
        <v>0</v>
      </c>
      <c r="P277" s="2">
        <f t="shared" si="117"/>
        <v>0</v>
      </c>
      <c r="Q277" s="2">
        <f t="shared" si="117"/>
        <v>0</v>
      </c>
      <c r="R277" s="2">
        <f t="shared" si="117"/>
        <v>0</v>
      </c>
      <c r="S277" s="2">
        <f t="shared" si="117"/>
        <v>0</v>
      </c>
      <c r="T277" s="2">
        <f t="shared" si="117"/>
        <v>0</v>
      </c>
      <c r="U277" s="2">
        <f t="shared" si="117"/>
        <v>0</v>
      </c>
      <c r="V277" s="2">
        <f t="shared" si="117"/>
        <v>0</v>
      </c>
      <c r="W277" s="2">
        <f t="shared" si="117"/>
        <v>0</v>
      </c>
      <c r="X277" s="2">
        <f t="shared" si="117"/>
        <v>0</v>
      </c>
      <c r="Y277" s="2">
        <f t="shared" si="117"/>
        <v>0</v>
      </c>
      <c r="Z277" s="2">
        <f t="shared" si="117"/>
        <v>0</v>
      </c>
      <c r="AA277" s="2">
        <f t="shared" si="117"/>
        <v>0</v>
      </c>
      <c r="AB277" s="2">
        <f t="shared" si="117"/>
        <v>0</v>
      </c>
      <c r="AC277" s="2">
        <f t="shared" si="117"/>
        <v>0</v>
      </c>
      <c r="AD277" s="2">
        <f t="shared" si="117"/>
        <v>0</v>
      </c>
      <c r="AE277" s="2">
        <f t="shared" si="117"/>
        <v>0</v>
      </c>
      <c r="AF277" s="2">
        <f t="shared" si="117"/>
        <v>0</v>
      </c>
      <c r="AG277" s="2">
        <f t="shared" si="117"/>
        <v>0</v>
      </c>
      <c r="AH277" s="2">
        <f t="shared" si="117"/>
        <v>0</v>
      </c>
      <c r="AI277" s="2">
        <f t="shared" si="117"/>
        <v>0</v>
      </c>
      <c r="AJ277" s="2">
        <f t="shared" si="117"/>
        <v>0</v>
      </c>
      <c r="AK277" s="2">
        <f t="shared" si="117"/>
        <v>0</v>
      </c>
      <c r="AL277" s="2">
        <f t="shared" si="117"/>
        <v>0</v>
      </c>
      <c r="AM277" s="2">
        <f t="shared" si="117"/>
        <v>0</v>
      </c>
      <c r="AN277" s="2">
        <f t="shared" si="117"/>
        <v>0</v>
      </c>
      <c r="AO277" s="2">
        <f t="shared" si="117"/>
        <v>0</v>
      </c>
      <c r="AP277" s="2">
        <f t="shared" si="117"/>
        <v>0</v>
      </c>
      <c r="AQ277" s="2">
        <f t="shared" si="117"/>
        <v>0</v>
      </c>
      <c r="AR277" s="2">
        <f t="shared" si="117"/>
        <v>0</v>
      </c>
      <c r="AS277" s="2">
        <f t="shared" si="117"/>
        <v>0</v>
      </c>
      <c r="AT277" s="2">
        <f t="shared" si="117"/>
        <v>0</v>
      </c>
      <c r="AU277" s="2">
        <f t="shared" si="117"/>
        <v>0</v>
      </c>
      <c r="AV277" s="2">
        <f t="shared" si="117"/>
        <v>0</v>
      </c>
      <c r="AW277" s="2">
        <f t="shared" si="117"/>
        <v>0</v>
      </c>
      <c r="AX277" s="2">
        <f t="shared" si="117"/>
        <v>0</v>
      </c>
      <c r="AY277" s="2">
        <f t="shared" si="117"/>
        <v>0</v>
      </c>
      <c r="AZ277" s="2">
        <f t="shared" si="117"/>
        <v>0</v>
      </c>
      <c r="BA277" s="2">
        <f t="shared" si="117"/>
        <v>0</v>
      </c>
      <c r="BB277" s="2">
        <f t="shared" si="117"/>
        <v>0</v>
      </c>
      <c r="BC277" s="2">
        <f t="shared" si="117"/>
        <v>0</v>
      </c>
      <c r="BD277" s="2">
        <f t="shared" si="117"/>
        <v>0</v>
      </c>
      <c r="BE277" s="2">
        <f t="shared" si="117"/>
        <v>0</v>
      </c>
      <c r="BF277" s="2">
        <f t="shared" si="117"/>
        <v>0</v>
      </c>
      <c r="BG277" s="2">
        <f t="shared" si="117"/>
        <v>0</v>
      </c>
      <c r="BH277" s="2">
        <f t="shared" si="117"/>
        <v>0</v>
      </c>
      <c r="BI277" s="2">
        <f t="shared" si="117"/>
        <v>0</v>
      </c>
      <c r="BJ277" s="2">
        <f t="shared" si="117"/>
        <v>0</v>
      </c>
      <c r="BK277" s="2">
        <f t="shared" si="117"/>
        <v>0</v>
      </c>
      <c r="BL277" s="2">
        <f t="shared" si="117"/>
        <v>0</v>
      </c>
      <c r="BM277" s="2">
        <f t="shared" si="117"/>
        <v>0</v>
      </c>
      <c r="BN277" s="2">
        <f t="shared" si="117"/>
        <v>0</v>
      </c>
      <c r="BO277" s="2">
        <f t="shared" si="117"/>
        <v>0</v>
      </c>
      <c r="BP277" s="2">
        <f t="shared" si="117"/>
        <v>0</v>
      </c>
      <c r="BQ277" s="2">
        <f t="shared" si="117"/>
        <v>0</v>
      </c>
    </row>
    <row r="278" spans="1:69" outlineLevel="1"/>
    <row r="279" spans="1:69" outlineLevel="1"/>
    <row r="280" spans="1:69" outlineLevel="1">
      <c r="B280" s="25" t="s">
        <v>243</v>
      </c>
    </row>
    <row r="281" spans="1:69" outlineLevel="2">
      <c r="A281" s="18"/>
      <c r="B281" s="18"/>
      <c r="C281" s="28"/>
      <c r="D281" s="27"/>
      <c r="E281" s="20" t="str">
        <f xml:space="preserve">  InpC!E$84</f>
        <v>VAT return this period beginning date</v>
      </c>
      <c r="F281" s="20">
        <f xml:space="preserve">  InpC!F$84</f>
        <v>45078</v>
      </c>
      <c r="G281" s="20" t="str">
        <f xml:space="preserve">  InpC!G$84</f>
        <v>date</v>
      </c>
      <c r="M281" s="8"/>
    </row>
    <row r="282" spans="1:69" outlineLevel="2">
      <c r="E282" s="8" t="str">
        <f t="shared" ref="E282:BQ282" si="118" xml:space="preserve">  E$19</f>
        <v>Model period end</v>
      </c>
      <c r="F282" s="8">
        <f t="shared" si="118"/>
        <v>0</v>
      </c>
      <c r="G282" s="8" t="str">
        <f t="shared" si="118"/>
        <v>date</v>
      </c>
      <c r="H282" s="8">
        <f t="shared" si="118"/>
        <v>0</v>
      </c>
      <c r="I282" s="8">
        <f t="shared" si="118"/>
        <v>0</v>
      </c>
      <c r="J282" s="8">
        <f t="shared" si="118"/>
        <v>45077</v>
      </c>
      <c r="K282" s="8">
        <f t="shared" si="118"/>
        <v>45107</v>
      </c>
      <c r="L282" s="8">
        <f t="shared" si="118"/>
        <v>45138</v>
      </c>
      <c r="M282" s="8">
        <f t="shared" si="118"/>
        <v>45169</v>
      </c>
      <c r="N282" s="8">
        <f t="shared" si="118"/>
        <v>45199</v>
      </c>
      <c r="O282" s="8">
        <f t="shared" si="118"/>
        <v>45230</v>
      </c>
      <c r="P282" s="8">
        <f t="shared" si="118"/>
        <v>45260</v>
      </c>
      <c r="Q282" s="8">
        <f t="shared" si="118"/>
        <v>45291</v>
      </c>
      <c r="R282" s="8">
        <f t="shared" si="118"/>
        <v>45322</v>
      </c>
      <c r="S282" s="8">
        <f t="shared" si="118"/>
        <v>45351</v>
      </c>
      <c r="T282" s="8">
        <f t="shared" si="118"/>
        <v>45382</v>
      </c>
      <c r="U282" s="8">
        <f t="shared" si="118"/>
        <v>45412</v>
      </c>
      <c r="V282" s="8">
        <f t="shared" si="118"/>
        <v>45443</v>
      </c>
      <c r="W282" s="8">
        <f t="shared" si="118"/>
        <v>45473</v>
      </c>
      <c r="X282" s="8">
        <f t="shared" si="118"/>
        <v>45504</v>
      </c>
      <c r="Y282" s="8">
        <f t="shared" si="118"/>
        <v>45535</v>
      </c>
      <c r="Z282" s="8">
        <f t="shared" si="118"/>
        <v>45565</v>
      </c>
      <c r="AA282" s="8">
        <f t="shared" si="118"/>
        <v>45596</v>
      </c>
      <c r="AB282" s="8">
        <f t="shared" si="118"/>
        <v>45626</v>
      </c>
      <c r="AC282" s="8">
        <f t="shared" si="118"/>
        <v>45657</v>
      </c>
      <c r="AD282" s="8">
        <f t="shared" si="118"/>
        <v>45688</v>
      </c>
      <c r="AE282" s="8">
        <f t="shared" si="118"/>
        <v>45716</v>
      </c>
      <c r="AF282" s="8">
        <f t="shared" si="118"/>
        <v>45747</v>
      </c>
      <c r="AG282" s="8">
        <f t="shared" si="118"/>
        <v>45777</v>
      </c>
      <c r="AH282" s="8">
        <f t="shared" si="118"/>
        <v>45808</v>
      </c>
      <c r="AI282" s="8">
        <f t="shared" si="118"/>
        <v>45838</v>
      </c>
      <c r="AJ282" s="8">
        <f t="shared" si="118"/>
        <v>45869</v>
      </c>
      <c r="AK282" s="8">
        <f t="shared" si="118"/>
        <v>45900</v>
      </c>
      <c r="AL282" s="8">
        <f t="shared" si="118"/>
        <v>45930</v>
      </c>
      <c r="AM282" s="8">
        <f t="shared" si="118"/>
        <v>45961</v>
      </c>
      <c r="AN282" s="8">
        <f t="shared" si="118"/>
        <v>45991</v>
      </c>
      <c r="AO282" s="8">
        <f t="shared" si="118"/>
        <v>46022</v>
      </c>
      <c r="AP282" s="8">
        <f t="shared" si="118"/>
        <v>46053</v>
      </c>
      <c r="AQ282" s="8">
        <f t="shared" si="118"/>
        <v>46081</v>
      </c>
      <c r="AR282" s="8">
        <f t="shared" si="118"/>
        <v>46112</v>
      </c>
      <c r="AS282" s="8">
        <f t="shared" si="118"/>
        <v>46142</v>
      </c>
      <c r="AT282" s="8">
        <f t="shared" si="118"/>
        <v>46173</v>
      </c>
      <c r="AU282" s="8">
        <f t="shared" si="118"/>
        <v>46203</v>
      </c>
      <c r="AV282" s="8">
        <f t="shared" si="118"/>
        <v>46234</v>
      </c>
      <c r="AW282" s="8">
        <f t="shared" si="118"/>
        <v>46265</v>
      </c>
      <c r="AX282" s="8">
        <f t="shared" si="118"/>
        <v>46295</v>
      </c>
      <c r="AY282" s="8">
        <f t="shared" si="118"/>
        <v>46326</v>
      </c>
      <c r="AZ282" s="8">
        <f t="shared" si="118"/>
        <v>46356</v>
      </c>
      <c r="BA282" s="8">
        <f t="shared" si="118"/>
        <v>46387</v>
      </c>
      <c r="BB282" s="8">
        <f t="shared" si="118"/>
        <v>46418</v>
      </c>
      <c r="BC282" s="8">
        <f t="shared" si="118"/>
        <v>46446</v>
      </c>
      <c r="BD282" s="8">
        <f t="shared" si="118"/>
        <v>46477</v>
      </c>
      <c r="BE282" s="8">
        <f t="shared" si="118"/>
        <v>46507</v>
      </c>
      <c r="BF282" s="8">
        <f t="shared" si="118"/>
        <v>46538</v>
      </c>
      <c r="BG282" s="8">
        <f t="shared" si="118"/>
        <v>46568</v>
      </c>
      <c r="BH282" s="8">
        <f t="shared" si="118"/>
        <v>46599</v>
      </c>
      <c r="BI282" s="8">
        <f t="shared" si="118"/>
        <v>46630</v>
      </c>
      <c r="BJ282" s="8">
        <f t="shared" si="118"/>
        <v>46660</v>
      </c>
      <c r="BK282" s="8">
        <f t="shared" si="118"/>
        <v>46691</v>
      </c>
      <c r="BL282" s="8">
        <f t="shared" si="118"/>
        <v>46721</v>
      </c>
      <c r="BM282" s="8">
        <f t="shared" si="118"/>
        <v>46752</v>
      </c>
      <c r="BN282" s="8">
        <f t="shared" si="118"/>
        <v>46783</v>
      </c>
      <c r="BO282" s="8">
        <f t="shared" si="118"/>
        <v>46812</v>
      </c>
      <c r="BP282" s="8">
        <f t="shared" si="118"/>
        <v>46843</v>
      </c>
      <c r="BQ282" s="8">
        <f t="shared" si="118"/>
        <v>46873</v>
      </c>
    </row>
    <row r="283" spans="1:69" outlineLevel="2">
      <c r="E283" s="8" t="str">
        <f t="shared" ref="E283:BQ283" si="119" xml:space="preserve">  E$12</f>
        <v>Model period start</v>
      </c>
      <c r="F283" s="8">
        <f t="shared" si="119"/>
        <v>0</v>
      </c>
      <c r="G283" s="8" t="str">
        <f t="shared" si="119"/>
        <v>date</v>
      </c>
      <c r="H283" s="8">
        <f t="shared" si="119"/>
        <v>0</v>
      </c>
      <c r="I283" s="8">
        <f t="shared" si="119"/>
        <v>0</v>
      </c>
      <c r="J283" s="8">
        <f t="shared" si="119"/>
        <v>45047</v>
      </c>
      <c r="K283" s="8">
        <f t="shared" si="119"/>
        <v>45078</v>
      </c>
      <c r="L283" s="8">
        <f t="shared" si="119"/>
        <v>45108</v>
      </c>
      <c r="M283" s="8">
        <f t="shared" si="119"/>
        <v>45139</v>
      </c>
      <c r="N283" s="8">
        <f t="shared" si="119"/>
        <v>45170</v>
      </c>
      <c r="O283" s="8">
        <f t="shared" si="119"/>
        <v>45200</v>
      </c>
      <c r="P283" s="8">
        <f t="shared" si="119"/>
        <v>45231</v>
      </c>
      <c r="Q283" s="8">
        <f t="shared" si="119"/>
        <v>45261</v>
      </c>
      <c r="R283" s="8">
        <f t="shared" si="119"/>
        <v>45292</v>
      </c>
      <c r="S283" s="8">
        <f t="shared" si="119"/>
        <v>45323</v>
      </c>
      <c r="T283" s="8">
        <f t="shared" si="119"/>
        <v>45352</v>
      </c>
      <c r="U283" s="8">
        <f t="shared" si="119"/>
        <v>45383</v>
      </c>
      <c r="V283" s="8">
        <f t="shared" si="119"/>
        <v>45413</v>
      </c>
      <c r="W283" s="8">
        <f t="shared" si="119"/>
        <v>45444</v>
      </c>
      <c r="X283" s="8">
        <f t="shared" si="119"/>
        <v>45474</v>
      </c>
      <c r="Y283" s="8">
        <f t="shared" si="119"/>
        <v>45505</v>
      </c>
      <c r="Z283" s="8">
        <f t="shared" si="119"/>
        <v>45536</v>
      </c>
      <c r="AA283" s="8">
        <f t="shared" si="119"/>
        <v>45566</v>
      </c>
      <c r="AB283" s="8">
        <f t="shared" si="119"/>
        <v>45597</v>
      </c>
      <c r="AC283" s="8">
        <f t="shared" si="119"/>
        <v>45627</v>
      </c>
      <c r="AD283" s="8">
        <f t="shared" si="119"/>
        <v>45658</v>
      </c>
      <c r="AE283" s="8">
        <f t="shared" si="119"/>
        <v>45689</v>
      </c>
      <c r="AF283" s="8">
        <f t="shared" si="119"/>
        <v>45717</v>
      </c>
      <c r="AG283" s="8">
        <f t="shared" si="119"/>
        <v>45748</v>
      </c>
      <c r="AH283" s="8">
        <f t="shared" si="119"/>
        <v>45778</v>
      </c>
      <c r="AI283" s="8">
        <f t="shared" si="119"/>
        <v>45809</v>
      </c>
      <c r="AJ283" s="8">
        <f t="shared" si="119"/>
        <v>45839</v>
      </c>
      <c r="AK283" s="8">
        <f t="shared" si="119"/>
        <v>45870</v>
      </c>
      <c r="AL283" s="8">
        <f t="shared" si="119"/>
        <v>45901</v>
      </c>
      <c r="AM283" s="8">
        <f t="shared" si="119"/>
        <v>45931</v>
      </c>
      <c r="AN283" s="8">
        <f t="shared" si="119"/>
        <v>45962</v>
      </c>
      <c r="AO283" s="8">
        <f t="shared" si="119"/>
        <v>45992</v>
      </c>
      <c r="AP283" s="8">
        <f t="shared" si="119"/>
        <v>46023</v>
      </c>
      <c r="AQ283" s="8">
        <f t="shared" si="119"/>
        <v>46054</v>
      </c>
      <c r="AR283" s="8">
        <f t="shared" si="119"/>
        <v>46082</v>
      </c>
      <c r="AS283" s="8">
        <f t="shared" si="119"/>
        <v>46113</v>
      </c>
      <c r="AT283" s="8">
        <f t="shared" si="119"/>
        <v>46143</v>
      </c>
      <c r="AU283" s="8">
        <f t="shared" si="119"/>
        <v>46174</v>
      </c>
      <c r="AV283" s="8">
        <f t="shared" si="119"/>
        <v>46204</v>
      </c>
      <c r="AW283" s="8">
        <f t="shared" si="119"/>
        <v>46235</v>
      </c>
      <c r="AX283" s="8">
        <f t="shared" si="119"/>
        <v>46266</v>
      </c>
      <c r="AY283" s="8">
        <f t="shared" si="119"/>
        <v>46296</v>
      </c>
      <c r="AZ283" s="8">
        <f t="shared" si="119"/>
        <v>46327</v>
      </c>
      <c r="BA283" s="8">
        <f t="shared" si="119"/>
        <v>46357</v>
      </c>
      <c r="BB283" s="8">
        <f t="shared" si="119"/>
        <v>46388</v>
      </c>
      <c r="BC283" s="8">
        <f t="shared" si="119"/>
        <v>46419</v>
      </c>
      <c r="BD283" s="8">
        <f t="shared" si="119"/>
        <v>46447</v>
      </c>
      <c r="BE283" s="8">
        <f t="shared" si="119"/>
        <v>46478</v>
      </c>
      <c r="BF283" s="8">
        <f t="shared" si="119"/>
        <v>46508</v>
      </c>
      <c r="BG283" s="8">
        <f t="shared" si="119"/>
        <v>46539</v>
      </c>
      <c r="BH283" s="8">
        <f t="shared" si="119"/>
        <v>46569</v>
      </c>
      <c r="BI283" s="8">
        <f t="shared" si="119"/>
        <v>46600</v>
      </c>
      <c r="BJ283" s="8">
        <f t="shared" si="119"/>
        <v>46631</v>
      </c>
      <c r="BK283" s="8">
        <f t="shared" si="119"/>
        <v>46661</v>
      </c>
      <c r="BL283" s="8">
        <f t="shared" si="119"/>
        <v>46692</v>
      </c>
      <c r="BM283" s="8">
        <f t="shared" si="119"/>
        <v>46722</v>
      </c>
      <c r="BN283" s="8">
        <f t="shared" si="119"/>
        <v>46753</v>
      </c>
      <c r="BO283" s="8">
        <f t="shared" si="119"/>
        <v>46784</v>
      </c>
      <c r="BP283" s="8">
        <f t="shared" si="119"/>
        <v>46813</v>
      </c>
      <c r="BQ283" s="8">
        <f t="shared" si="119"/>
        <v>46844</v>
      </c>
    </row>
    <row r="284" spans="1:69" outlineLevel="2">
      <c r="E284" s="47" t="s">
        <v>243</v>
      </c>
      <c r="G284" s="47" t="s">
        <v>20</v>
      </c>
      <c r="H284" s="2">
        <f xml:space="preserve"> SUM( J284:BQ284 )</f>
        <v>1</v>
      </c>
      <c r="J284" s="2">
        <f t="shared" ref="J284:BQ284" si="120" xml:space="preserve">  IF( AND( J282 &gt;= $F281, J283 &lt;= $F281 ), 1, 0 )</f>
        <v>0</v>
      </c>
      <c r="K284" s="2">
        <f t="shared" si="120"/>
        <v>1</v>
      </c>
      <c r="L284" s="2">
        <f t="shared" si="120"/>
        <v>0</v>
      </c>
      <c r="M284" s="2">
        <f t="shared" si="120"/>
        <v>0</v>
      </c>
      <c r="N284" s="2">
        <f t="shared" si="120"/>
        <v>0</v>
      </c>
      <c r="O284" s="2">
        <f t="shared" si="120"/>
        <v>0</v>
      </c>
      <c r="P284" s="2">
        <f t="shared" si="120"/>
        <v>0</v>
      </c>
      <c r="Q284" s="2">
        <f t="shared" si="120"/>
        <v>0</v>
      </c>
      <c r="R284" s="2">
        <f t="shared" si="120"/>
        <v>0</v>
      </c>
      <c r="S284" s="2">
        <f t="shared" si="120"/>
        <v>0</v>
      </c>
      <c r="T284" s="2">
        <f t="shared" si="120"/>
        <v>0</v>
      </c>
      <c r="U284" s="2">
        <f t="shared" si="120"/>
        <v>0</v>
      </c>
      <c r="V284" s="2">
        <f t="shared" si="120"/>
        <v>0</v>
      </c>
      <c r="W284" s="2">
        <f t="shared" si="120"/>
        <v>0</v>
      </c>
      <c r="X284" s="2">
        <f t="shared" si="120"/>
        <v>0</v>
      </c>
      <c r="Y284" s="2">
        <f t="shared" si="120"/>
        <v>0</v>
      </c>
      <c r="Z284" s="2">
        <f t="shared" si="120"/>
        <v>0</v>
      </c>
      <c r="AA284" s="2">
        <f t="shared" si="120"/>
        <v>0</v>
      </c>
      <c r="AB284" s="2">
        <f t="shared" si="120"/>
        <v>0</v>
      </c>
      <c r="AC284" s="2">
        <f t="shared" si="120"/>
        <v>0</v>
      </c>
      <c r="AD284" s="2">
        <f t="shared" si="120"/>
        <v>0</v>
      </c>
      <c r="AE284" s="2">
        <f t="shared" si="120"/>
        <v>0</v>
      </c>
      <c r="AF284" s="2">
        <f t="shared" si="120"/>
        <v>0</v>
      </c>
      <c r="AG284" s="2">
        <f t="shared" si="120"/>
        <v>0</v>
      </c>
      <c r="AH284" s="2">
        <f t="shared" si="120"/>
        <v>0</v>
      </c>
      <c r="AI284" s="2">
        <f t="shared" si="120"/>
        <v>0</v>
      </c>
      <c r="AJ284" s="2">
        <f t="shared" si="120"/>
        <v>0</v>
      </c>
      <c r="AK284" s="2">
        <f t="shared" si="120"/>
        <v>0</v>
      </c>
      <c r="AL284" s="2">
        <f t="shared" si="120"/>
        <v>0</v>
      </c>
      <c r="AM284" s="2">
        <f t="shared" si="120"/>
        <v>0</v>
      </c>
      <c r="AN284" s="2">
        <f t="shared" si="120"/>
        <v>0</v>
      </c>
      <c r="AO284" s="2">
        <f t="shared" si="120"/>
        <v>0</v>
      </c>
      <c r="AP284" s="2">
        <f t="shared" si="120"/>
        <v>0</v>
      </c>
      <c r="AQ284" s="2">
        <f t="shared" si="120"/>
        <v>0</v>
      </c>
      <c r="AR284" s="2">
        <f t="shared" si="120"/>
        <v>0</v>
      </c>
      <c r="AS284" s="2">
        <f t="shared" si="120"/>
        <v>0</v>
      </c>
      <c r="AT284" s="2">
        <f t="shared" si="120"/>
        <v>0</v>
      </c>
      <c r="AU284" s="2">
        <f t="shared" si="120"/>
        <v>0</v>
      </c>
      <c r="AV284" s="2">
        <f t="shared" si="120"/>
        <v>0</v>
      </c>
      <c r="AW284" s="2">
        <f t="shared" si="120"/>
        <v>0</v>
      </c>
      <c r="AX284" s="2">
        <f t="shared" si="120"/>
        <v>0</v>
      </c>
      <c r="AY284" s="2">
        <f t="shared" si="120"/>
        <v>0</v>
      </c>
      <c r="AZ284" s="2">
        <f t="shared" si="120"/>
        <v>0</v>
      </c>
      <c r="BA284" s="2">
        <f t="shared" si="120"/>
        <v>0</v>
      </c>
      <c r="BB284" s="2">
        <f t="shared" si="120"/>
        <v>0</v>
      </c>
      <c r="BC284" s="2">
        <f t="shared" si="120"/>
        <v>0</v>
      </c>
      <c r="BD284" s="2">
        <f t="shared" si="120"/>
        <v>0</v>
      </c>
      <c r="BE284" s="2">
        <f t="shared" si="120"/>
        <v>0</v>
      </c>
      <c r="BF284" s="2">
        <f t="shared" si="120"/>
        <v>0</v>
      </c>
      <c r="BG284" s="2">
        <f t="shared" si="120"/>
        <v>0</v>
      </c>
      <c r="BH284" s="2">
        <f t="shared" si="120"/>
        <v>0</v>
      </c>
      <c r="BI284" s="2">
        <f t="shared" si="120"/>
        <v>0</v>
      </c>
      <c r="BJ284" s="2">
        <f t="shared" si="120"/>
        <v>0</v>
      </c>
      <c r="BK284" s="2">
        <f t="shared" si="120"/>
        <v>0</v>
      </c>
      <c r="BL284" s="2">
        <f t="shared" si="120"/>
        <v>0</v>
      </c>
      <c r="BM284" s="2">
        <f t="shared" si="120"/>
        <v>0</v>
      </c>
      <c r="BN284" s="2">
        <f t="shared" si="120"/>
        <v>0</v>
      </c>
      <c r="BO284" s="2">
        <f t="shared" si="120"/>
        <v>0</v>
      </c>
      <c r="BP284" s="2">
        <f t="shared" si="120"/>
        <v>0</v>
      </c>
      <c r="BQ284" s="2">
        <f t="shared" si="120"/>
        <v>0</v>
      </c>
    </row>
    <row r="285" spans="1:69" outlineLevel="1"/>
    <row r="287" spans="1:69">
      <c r="A287" s="25" t="s">
        <v>57</v>
      </c>
    </row>
    <row r="288" spans="1:69" outlineLevel="1">
      <c r="B288" s="25" t="s">
        <v>57</v>
      </c>
    </row>
    <row r="289" spans="1:69" outlineLevel="2">
      <c r="A289" s="18"/>
      <c r="B289" s="18"/>
      <c r="C289" s="28"/>
      <c r="D289" s="27"/>
      <c r="E289" s="20" t="str">
        <f xml:space="preserve">  InpC!E$96</f>
        <v>Use short term forecast flag end date</v>
      </c>
      <c r="F289" s="20">
        <f xml:space="preserve">  InpC!F$96</f>
        <v>45413</v>
      </c>
      <c r="G289" s="20" t="str">
        <f xml:space="preserve">  InpC!G$96</f>
        <v>date</v>
      </c>
      <c r="M289" s="8"/>
    </row>
    <row r="290" spans="1:69" outlineLevel="2">
      <c r="E290" s="8" t="str">
        <f t="shared" ref="E290:BQ290" si="121" xml:space="preserve">  E$12</f>
        <v>Model period start</v>
      </c>
      <c r="F290" s="8">
        <f t="shared" si="121"/>
        <v>0</v>
      </c>
      <c r="G290" s="8" t="str">
        <f t="shared" si="121"/>
        <v>date</v>
      </c>
      <c r="H290" s="8">
        <f t="shared" si="121"/>
        <v>0</v>
      </c>
      <c r="I290" s="8">
        <f t="shared" si="121"/>
        <v>0</v>
      </c>
      <c r="J290" s="8">
        <f t="shared" si="121"/>
        <v>45047</v>
      </c>
      <c r="K290" s="8">
        <f t="shared" si="121"/>
        <v>45078</v>
      </c>
      <c r="L290" s="8">
        <f t="shared" si="121"/>
        <v>45108</v>
      </c>
      <c r="M290" s="8">
        <f t="shared" si="121"/>
        <v>45139</v>
      </c>
      <c r="N290" s="8">
        <f t="shared" si="121"/>
        <v>45170</v>
      </c>
      <c r="O290" s="8">
        <f t="shared" si="121"/>
        <v>45200</v>
      </c>
      <c r="P290" s="8">
        <f t="shared" si="121"/>
        <v>45231</v>
      </c>
      <c r="Q290" s="8">
        <f t="shared" si="121"/>
        <v>45261</v>
      </c>
      <c r="R290" s="8">
        <f t="shared" si="121"/>
        <v>45292</v>
      </c>
      <c r="S290" s="8">
        <f t="shared" si="121"/>
        <v>45323</v>
      </c>
      <c r="T290" s="8">
        <f t="shared" si="121"/>
        <v>45352</v>
      </c>
      <c r="U290" s="8">
        <f t="shared" si="121"/>
        <v>45383</v>
      </c>
      <c r="V290" s="8">
        <f t="shared" si="121"/>
        <v>45413</v>
      </c>
      <c r="W290" s="8">
        <f t="shared" si="121"/>
        <v>45444</v>
      </c>
      <c r="X290" s="8">
        <f t="shared" si="121"/>
        <v>45474</v>
      </c>
      <c r="Y290" s="8">
        <f t="shared" si="121"/>
        <v>45505</v>
      </c>
      <c r="Z290" s="8">
        <f t="shared" si="121"/>
        <v>45536</v>
      </c>
      <c r="AA290" s="8">
        <f t="shared" si="121"/>
        <v>45566</v>
      </c>
      <c r="AB290" s="8">
        <f t="shared" si="121"/>
        <v>45597</v>
      </c>
      <c r="AC290" s="8">
        <f t="shared" si="121"/>
        <v>45627</v>
      </c>
      <c r="AD290" s="8">
        <f t="shared" si="121"/>
        <v>45658</v>
      </c>
      <c r="AE290" s="8">
        <f t="shared" si="121"/>
        <v>45689</v>
      </c>
      <c r="AF290" s="8">
        <f t="shared" si="121"/>
        <v>45717</v>
      </c>
      <c r="AG290" s="8">
        <f t="shared" si="121"/>
        <v>45748</v>
      </c>
      <c r="AH290" s="8">
        <f t="shared" si="121"/>
        <v>45778</v>
      </c>
      <c r="AI290" s="8">
        <f t="shared" si="121"/>
        <v>45809</v>
      </c>
      <c r="AJ290" s="8">
        <f t="shared" si="121"/>
        <v>45839</v>
      </c>
      <c r="AK290" s="8">
        <f t="shared" si="121"/>
        <v>45870</v>
      </c>
      <c r="AL290" s="8">
        <f t="shared" si="121"/>
        <v>45901</v>
      </c>
      <c r="AM290" s="8">
        <f t="shared" si="121"/>
        <v>45931</v>
      </c>
      <c r="AN290" s="8">
        <f t="shared" si="121"/>
        <v>45962</v>
      </c>
      <c r="AO290" s="8">
        <f t="shared" si="121"/>
        <v>45992</v>
      </c>
      <c r="AP290" s="8">
        <f t="shared" si="121"/>
        <v>46023</v>
      </c>
      <c r="AQ290" s="8">
        <f t="shared" si="121"/>
        <v>46054</v>
      </c>
      <c r="AR290" s="8">
        <f t="shared" si="121"/>
        <v>46082</v>
      </c>
      <c r="AS290" s="8">
        <f t="shared" si="121"/>
        <v>46113</v>
      </c>
      <c r="AT290" s="8">
        <f t="shared" si="121"/>
        <v>46143</v>
      </c>
      <c r="AU290" s="8">
        <f t="shared" si="121"/>
        <v>46174</v>
      </c>
      <c r="AV290" s="8">
        <f t="shared" si="121"/>
        <v>46204</v>
      </c>
      <c r="AW290" s="8">
        <f t="shared" si="121"/>
        <v>46235</v>
      </c>
      <c r="AX290" s="8">
        <f t="shared" si="121"/>
        <v>46266</v>
      </c>
      <c r="AY290" s="8">
        <f t="shared" si="121"/>
        <v>46296</v>
      </c>
      <c r="AZ290" s="8">
        <f t="shared" si="121"/>
        <v>46327</v>
      </c>
      <c r="BA290" s="8">
        <f t="shared" si="121"/>
        <v>46357</v>
      </c>
      <c r="BB290" s="8">
        <f t="shared" si="121"/>
        <v>46388</v>
      </c>
      <c r="BC290" s="8">
        <f t="shared" si="121"/>
        <v>46419</v>
      </c>
      <c r="BD290" s="8">
        <f t="shared" si="121"/>
        <v>46447</v>
      </c>
      <c r="BE290" s="8">
        <f t="shared" si="121"/>
        <v>46478</v>
      </c>
      <c r="BF290" s="8">
        <f t="shared" si="121"/>
        <v>46508</v>
      </c>
      <c r="BG290" s="8">
        <f t="shared" si="121"/>
        <v>46539</v>
      </c>
      <c r="BH290" s="8">
        <f t="shared" si="121"/>
        <v>46569</v>
      </c>
      <c r="BI290" s="8">
        <f t="shared" si="121"/>
        <v>46600</v>
      </c>
      <c r="BJ290" s="8">
        <f t="shared" si="121"/>
        <v>46631</v>
      </c>
      <c r="BK290" s="8">
        <f t="shared" si="121"/>
        <v>46661</v>
      </c>
      <c r="BL290" s="8">
        <f t="shared" si="121"/>
        <v>46692</v>
      </c>
      <c r="BM290" s="8">
        <f t="shared" si="121"/>
        <v>46722</v>
      </c>
      <c r="BN290" s="8">
        <f t="shared" si="121"/>
        <v>46753</v>
      </c>
      <c r="BO290" s="8">
        <f t="shared" si="121"/>
        <v>46784</v>
      </c>
      <c r="BP290" s="8">
        <f t="shared" si="121"/>
        <v>46813</v>
      </c>
      <c r="BQ290" s="8">
        <f t="shared" si="121"/>
        <v>46844</v>
      </c>
    </row>
    <row r="291" spans="1:69" outlineLevel="2">
      <c r="A291" s="34"/>
      <c r="B291" s="34"/>
      <c r="C291" s="64"/>
      <c r="D291" s="65"/>
      <c r="E291" s="21" t="s">
        <v>57</v>
      </c>
      <c r="F291" s="21"/>
      <c r="G291" s="21" t="s">
        <v>20</v>
      </c>
      <c r="H291" s="3">
        <f xml:space="preserve"> SUM( J291:BQ291 )</f>
        <v>12</v>
      </c>
      <c r="I291" s="21"/>
      <c r="J291" s="3">
        <f t="shared" ref="J291:BQ291" si="122" xml:space="preserve">  IF( J290 &gt;= $F289, 0, 1 )</f>
        <v>1</v>
      </c>
      <c r="K291" s="3">
        <f t="shared" si="122"/>
        <v>1</v>
      </c>
      <c r="L291" s="3">
        <f t="shared" si="122"/>
        <v>1</v>
      </c>
      <c r="M291" s="3">
        <f t="shared" si="122"/>
        <v>1</v>
      </c>
      <c r="N291" s="3">
        <f t="shared" si="122"/>
        <v>1</v>
      </c>
      <c r="O291" s="3">
        <f t="shared" si="122"/>
        <v>1</v>
      </c>
      <c r="P291" s="3">
        <f t="shared" si="122"/>
        <v>1</v>
      </c>
      <c r="Q291" s="3">
        <f t="shared" si="122"/>
        <v>1</v>
      </c>
      <c r="R291" s="3">
        <f t="shared" si="122"/>
        <v>1</v>
      </c>
      <c r="S291" s="3">
        <f t="shared" si="122"/>
        <v>1</v>
      </c>
      <c r="T291" s="3">
        <f t="shared" si="122"/>
        <v>1</v>
      </c>
      <c r="U291" s="3">
        <f t="shared" si="122"/>
        <v>1</v>
      </c>
      <c r="V291" s="3">
        <f t="shared" si="122"/>
        <v>0</v>
      </c>
      <c r="W291" s="3">
        <f t="shared" si="122"/>
        <v>0</v>
      </c>
      <c r="X291" s="3">
        <f t="shared" si="122"/>
        <v>0</v>
      </c>
      <c r="Y291" s="3">
        <f t="shared" si="122"/>
        <v>0</v>
      </c>
      <c r="Z291" s="3">
        <f t="shared" si="122"/>
        <v>0</v>
      </c>
      <c r="AA291" s="3">
        <f t="shared" si="122"/>
        <v>0</v>
      </c>
      <c r="AB291" s="3">
        <f t="shared" si="122"/>
        <v>0</v>
      </c>
      <c r="AC291" s="3">
        <f t="shared" si="122"/>
        <v>0</v>
      </c>
      <c r="AD291" s="3">
        <f t="shared" si="122"/>
        <v>0</v>
      </c>
      <c r="AE291" s="3">
        <f t="shared" si="122"/>
        <v>0</v>
      </c>
      <c r="AF291" s="3">
        <f t="shared" si="122"/>
        <v>0</v>
      </c>
      <c r="AG291" s="3">
        <f t="shared" si="122"/>
        <v>0</v>
      </c>
      <c r="AH291" s="3">
        <f t="shared" si="122"/>
        <v>0</v>
      </c>
      <c r="AI291" s="3">
        <f t="shared" si="122"/>
        <v>0</v>
      </c>
      <c r="AJ291" s="3">
        <f t="shared" si="122"/>
        <v>0</v>
      </c>
      <c r="AK291" s="3">
        <f t="shared" si="122"/>
        <v>0</v>
      </c>
      <c r="AL291" s="3">
        <f t="shared" si="122"/>
        <v>0</v>
      </c>
      <c r="AM291" s="3">
        <f t="shared" si="122"/>
        <v>0</v>
      </c>
      <c r="AN291" s="3">
        <f t="shared" si="122"/>
        <v>0</v>
      </c>
      <c r="AO291" s="3">
        <f t="shared" si="122"/>
        <v>0</v>
      </c>
      <c r="AP291" s="3">
        <f t="shared" si="122"/>
        <v>0</v>
      </c>
      <c r="AQ291" s="3">
        <f t="shared" si="122"/>
        <v>0</v>
      </c>
      <c r="AR291" s="3">
        <f t="shared" si="122"/>
        <v>0</v>
      </c>
      <c r="AS291" s="3">
        <f t="shared" si="122"/>
        <v>0</v>
      </c>
      <c r="AT291" s="3">
        <f t="shared" si="122"/>
        <v>0</v>
      </c>
      <c r="AU291" s="3">
        <f t="shared" si="122"/>
        <v>0</v>
      </c>
      <c r="AV291" s="3">
        <f t="shared" si="122"/>
        <v>0</v>
      </c>
      <c r="AW291" s="3">
        <f t="shared" si="122"/>
        <v>0</v>
      </c>
      <c r="AX291" s="3">
        <f t="shared" si="122"/>
        <v>0</v>
      </c>
      <c r="AY291" s="3">
        <f t="shared" si="122"/>
        <v>0</v>
      </c>
      <c r="AZ291" s="3">
        <f t="shared" si="122"/>
        <v>0</v>
      </c>
      <c r="BA291" s="3">
        <f t="shared" si="122"/>
        <v>0</v>
      </c>
      <c r="BB291" s="3">
        <f t="shared" si="122"/>
        <v>0</v>
      </c>
      <c r="BC291" s="3">
        <f t="shared" si="122"/>
        <v>0</v>
      </c>
      <c r="BD291" s="3">
        <f t="shared" si="122"/>
        <v>0</v>
      </c>
      <c r="BE291" s="3">
        <f t="shared" si="122"/>
        <v>0</v>
      </c>
      <c r="BF291" s="3">
        <f t="shared" si="122"/>
        <v>0</v>
      </c>
      <c r="BG291" s="3">
        <f t="shared" si="122"/>
        <v>0</v>
      </c>
      <c r="BH291" s="3">
        <f t="shared" si="122"/>
        <v>0</v>
      </c>
      <c r="BI291" s="3">
        <f t="shared" si="122"/>
        <v>0</v>
      </c>
      <c r="BJ291" s="3">
        <f t="shared" si="122"/>
        <v>0</v>
      </c>
      <c r="BK291" s="3">
        <f t="shared" si="122"/>
        <v>0</v>
      </c>
      <c r="BL291" s="3">
        <f t="shared" si="122"/>
        <v>0</v>
      </c>
      <c r="BM291" s="3">
        <f t="shared" si="122"/>
        <v>0</v>
      </c>
      <c r="BN291" s="3">
        <f t="shared" si="122"/>
        <v>0</v>
      </c>
      <c r="BO291" s="3">
        <f t="shared" si="122"/>
        <v>0</v>
      </c>
      <c r="BP291" s="3">
        <f t="shared" si="122"/>
        <v>0</v>
      </c>
      <c r="BQ291" s="3">
        <f t="shared" si="122"/>
        <v>0</v>
      </c>
    </row>
    <row r="292" spans="1:69" outlineLevel="1"/>
    <row r="294" spans="1:69">
      <c r="A294" s="25" t="s">
        <v>218</v>
      </c>
    </row>
    <row r="295" spans="1:69" outlineLevel="1">
      <c r="B295" s="25" t="s">
        <v>58</v>
      </c>
    </row>
    <row r="296" spans="1:69" outlineLevel="2">
      <c r="E296" s="5" t="str">
        <f t="shared" ref="E296:BQ296" si="123" xml:space="preserve">  E$28</f>
        <v>Period number</v>
      </c>
      <c r="F296" s="5">
        <f t="shared" si="123"/>
        <v>0</v>
      </c>
      <c r="G296" s="5" t="str">
        <f t="shared" si="123"/>
        <v>Counter</v>
      </c>
      <c r="H296" s="5">
        <f t="shared" si="123"/>
        <v>0</v>
      </c>
      <c r="I296" s="5">
        <f t="shared" si="123"/>
        <v>0</v>
      </c>
      <c r="J296" s="5">
        <f t="shared" si="123"/>
        <v>1</v>
      </c>
      <c r="K296" s="5">
        <f t="shared" si="123"/>
        <v>2</v>
      </c>
      <c r="L296" s="5">
        <f t="shared" si="123"/>
        <v>3</v>
      </c>
      <c r="M296" s="5">
        <f t="shared" si="123"/>
        <v>4</v>
      </c>
      <c r="N296" s="5">
        <f t="shared" si="123"/>
        <v>5</v>
      </c>
      <c r="O296" s="5">
        <f t="shared" si="123"/>
        <v>6</v>
      </c>
      <c r="P296" s="5">
        <f t="shared" si="123"/>
        <v>7</v>
      </c>
      <c r="Q296" s="5">
        <f t="shared" si="123"/>
        <v>8</v>
      </c>
      <c r="R296" s="5">
        <f t="shared" si="123"/>
        <v>9</v>
      </c>
      <c r="S296" s="5">
        <f t="shared" si="123"/>
        <v>10</v>
      </c>
      <c r="T296" s="5">
        <f t="shared" si="123"/>
        <v>11</v>
      </c>
      <c r="U296" s="5">
        <f t="shared" si="123"/>
        <v>12</v>
      </c>
      <c r="V296" s="5">
        <f t="shared" si="123"/>
        <v>13</v>
      </c>
      <c r="W296" s="5">
        <f t="shared" si="123"/>
        <v>14</v>
      </c>
      <c r="X296" s="5">
        <f t="shared" si="123"/>
        <v>15</v>
      </c>
      <c r="Y296" s="5">
        <f t="shared" si="123"/>
        <v>16</v>
      </c>
      <c r="Z296" s="5">
        <f t="shared" si="123"/>
        <v>17</v>
      </c>
      <c r="AA296" s="5">
        <f t="shared" si="123"/>
        <v>18</v>
      </c>
      <c r="AB296" s="5">
        <f t="shared" si="123"/>
        <v>19</v>
      </c>
      <c r="AC296" s="5">
        <f t="shared" si="123"/>
        <v>20</v>
      </c>
      <c r="AD296" s="5">
        <f t="shared" si="123"/>
        <v>21</v>
      </c>
      <c r="AE296" s="5">
        <f t="shared" si="123"/>
        <v>22</v>
      </c>
      <c r="AF296" s="5">
        <f t="shared" si="123"/>
        <v>23</v>
      </c>
      <c r="AG296" s="5">
        <f t="shared" si="123"/>
        <v>24</v>
      </c>
      <c r="AH296" s="5">
        <f t="shared" si="123"/>
        <v>25</v>
      </c>
      <c r="AI296" s="5">
        <f t="shared" si="123"/>
        <v>26</v>
      </c>
      <c r="AJ296" s="5">
        <f t="shared" si="123"/>
        <v>27</v>
      </c>
      <c r="AK296" s="5">
        <f t="shared" si="123"/>
        <v>28</v>
      </c>
      <c r="AL296" s="5">
        <f t="shared" si="123"/>
        <v>29</v>
      </c>
      <c r="AM296" s="5">
        <f t="shared" si="123"/>
        <v>30</v>
      </c>
      <c r="AN296" s="5">
        <f t="shared" si="123"/>
        <v>31</v>
      </c>
      <c r="AO296" s="5">
        <f t="shared" si="123"/>
        <v>32</v>
      </c>
      <c r="AP296" s="5">
        <f t="shared" si="123"/>
        <v>33</v>
      </c>
      <c r="AQ296" s="5">
        <f t="shared" si="123"/>
        <v>34</v>
      </c>
      <c r="AR296" s="5">
        <f t="shared" si="123"/>
        <v>35</v>
      </c>
      <c r="AS296" s="5">
        <f t="shared" si="123"/>
        <v>36</v>
      </c>
      <c r="AT296" s="5">
        <f t="shared" si="123"/>
        <v>37</v>
      </c>
      <c r="AU296" s="5">
        <f t="shared" si="123"/>
        <v>38</v>
      </c>
      <c r="AV296" s="5">
        <f t="shared" si="123"/>
        <v>39</v>
      </c>
      <c r="AW296" s="5">
        <f t="shared" si="123"/>
        <v>40</v>
      </c>
      <c r="AX296" s="5">
        <f t="shared" si="123"/>
        <v>41</v>
      </c>
      <c r="AY296" s="5">
        <f t="shared" si="123"/>
        <v>42</v>
      </c>
      <c r="AZ296" s="5">
        <f t="shared" si="123"/>
        <v>43</v>
      </c>
      <c r="BA296" s="5">
        <f t="shared" si="123"/>
        <v>44</v>
      </c>
      <c r="BB296" s="5">
        <f t="shared" si="123"/>
        <v>45</v>
      </c>
      <c r="BC296" s="5">
        <f t="shared" si="123"/>
        <v>46</v>
      </c>
      <c r="BD296" s="5">
        <f t="shared" si="123"/>
        <v>47</v>
      </c>
      <c r="BE296" s="5">
        <f t="shared" si="123"/>
        <v>48</v>
      </c>
      <c r="BF296" s="5">
        <f t="shared" si="123"/>
        <v>49</v>
      </c>
      <c r="BG296" s="5">
        <f t="shared" si="123"/>
        <v>50</v>
      </c>
      <c r="BH296" s="5">
        <f t="shared" si="123"/>
        <v>51</v>
      </c>
      <c r="BI296" s="5">
        <f t="shared" si="123"/>
        <v>52</v>
      </c>
      <c r="BJ296" s="5">
        <f t="shared" si="123"/>
        <v>53</v>
      </c>
      <c r="BK296" s="5">
        <f t="shared" si="123"/>
        <v>54</v>
      </c>
      <c r="BL296" s="5">
        <f t="shared" si="123"/>
        <v>55</v>
      </c>
      <c r="BM296" s="5">
        <f t="shared" si="123"/>
        <v>56</v>
      </c>
      <c r="BN296" s="5">
        <f t="shared" si="123"/>
        <v>57</v>
      </c>
      <c r="BO296" s="5">
        <f t="shared" si="123"/>
        <v>58</v>
      </c>
      <c r="BP296" s="5">
        <f t="shared" si="123"/>
        <v>59</v>
      </c>
      <c r="BQ296" s="5">
        <f t="shared" si="123"/>
        <v>60</v>
      </c>
    </row>
    <row r="297" spans="1:69" outlineLevel="2">
      <c r="E297" s="47" t="s">
        <v>58</v>
      </c>
      <c r="G297" s="47" t="s">
        <v>91</v>
      </c>
      <c r="J297" s="5">
        <f t="shared" ref="J297:BQ297" si="124" xml:space="preserve">  IF( J296 = 1, 1, I297 + IF( MOD( J296, 12 ) = 1, 1, 0 ) )</f>
        <v>1</v>
      </c>
      <c r="K297" s="5">
        <f t="shared" si="124"/>
        <v>1</v>
      </c>
      <c r="L297" s="5">
        <f t="shared" si="124"/>
        <v>1</v>
      </c>
      <c r="M297" s="5">
        <f t="shared" si="124"/>
        <v>1</v>
      </c>
      <c r="N297" s="5">
        <f t="shared" si="124"/>
        <v>1</v>
      </c>
      <c r="O297" s="5">
        <f t="shared" si="124"/>
        <v>1</v>
      </c>
      <c r="P297" s="5">
        <f t="shared" si="124"/>
        <v>1</v>
      </c>
      <c r="Q297" s="5">
        <f t="shared" si="124"/>
        <v>1</v>
      </c>
      <c r="R297" s="5">
        <f t="shared" si="124"/>
        <v>1</v>
      </c>
      <c r="S297" s="5">
        <f t="shared" si="124"/>
        <v>1</v>
      </c>
      <c r="T297" s="5">
        <f t="shared" si="124"/>
        <v>1</v>
      </c>
      <c r="U297" s="5">
        <f t="shared" si="124"/>
        <v>1</v>
      </c>
      <c r="V297" s="5">
        <f t="shared" si="124"/>
        <v>2</v>
      </c>
      <c r="W297" s="5">
        <f t="shared" si="124"/>
        <v>2</v>
      </c>
      <c r="X297" s="5">
        <f t="shared" si="124"/>
        <v>2</v>
      </c>
      <c r="Y297" s="5">
        <f t="shared" si="124"/>
        <v>2</v>
      </c>
      <c r="Z297" s="5">
        <f t="shared" si="124"/>
        <v>2</v>
      </c>
      <c r="AA297" s="5">
        <f t="shared" si="124"/>
        <v>2</v>
      </c>
      <c r="AB297" s="5">
        <f t="shared" si="124"/>
        <v>2</v>
      </c>
      <c r="AC297" s="5">
        <f t="shared" si="124"/>
        <v>2</v>
      </c>
      <c r="AD297" s="5">
        <f t="shared" si="124"/>
        <v>2</v>
      </c>
      <c r="AE297" s="5">
        <f t="shared" si="124"/>
        <v>2</v>
      </c>
      <c r="AF297" s="5">
        <f t="shared" si="124"/>
        <v>2</v>
      </c>
      <c r="AG297" s="5">
        <f t="shared" si="124"/>
        <v>2</v>
      </c>
      <c r="AH297" s="5">
        <f t="shared" si="124"/>
        <v>3</v>
      </c>
      <c r="AI297" s="5">
        <f t="shared" si="124"/>
        <v>3</v>
      </c>
      <c r="AJ297" s="5">
        <f t="shared" si="124"/>
        <v>3</v>
      </c>
      <c r="AK297" s="5">
        <f t="shared" si="124"/>
        <v>3</v>
      </c>
      <c r="AL297" s="5">
        <f t="shared" si="124"/>
        <v>3</v>
      </c>
      <c r="AM297" s="5">
        <f t="shared" si="124"/>
        <v>3</v>
      </c>
      <c r="AN297" s="5">
        <f t="shared" si="124"/>
        <v>3</v>
      </c>
      <c r="AO297" s="5">
        <f t="shared" si="124"/>
        <v>3</v>
      </c>
      <c r="AP297" s="5">
        <f t="shared" si="124"/>
        <v>3</v>
      </c>
      <c r="AQ297" s="5">
        <f t="shared" si="124"/>
        <v>3</v>
      </c>
      <c r="AR297" s="5">
        <f t="shared" si="124"/>
        <v>3</v>
      </c>
      <c r="AS297" s="5">
        <f t="shared" si="124"/>
        <v>3</v>
      </c>
      <c r="AT297" s="5">
        <f t="shared" si="124"/>
        <v>4</v>
      </c>
      <c r="AU297" s="5">
        <f t="shared" si="124"/>
        <v>4</v>
      </c>
      <c r="AV297" s="5">
        <f t="shared" si="124"/>
        <v>4</v>
      </c>
      <c r="AW297" s="5">
        <f t="shared" si="124"/>
        <v>4</v>
      </c>
      <c r="AX297" s="5">
        <f t="shared" si="124"/>
        <v>4</v>
      </c>
      <c r="AY297" s="5">
        <f t="shared" si="124"/>
        <v>4</v>
      </c>
      <c r="AZ297" s="5">
        <f t="shared" si="124"/>
        <v>4</v>
      </c>
      <c r="BA297" s="5">
        <f t="shared" si="124"/>
        <v>4</v>
      </c>
      <c r="BB297" s="5">
        <f t="shared" si="124"/>
        <v>4</v>
      </c>
      <c r="BC297" s="5">
        <f t="shared" si="124"/>
        <v>4</v>
      </c>
      <c r="BD297" s="5">
        <f t="shared" si="124"/>
        <v>4</v>
      </c>
      <c r="BE297" s="5">
        <f t="shared" si="124"/>
        <v>4</v>
      </c>
      <c r="BF297" s="5">
        <f t="shared" si="124"/>
        <v>5</v>
      </c>
      <c r="BG297" s="5">
        <f t="shared" si="124"/>
        <v>5</v>
      </c>
      <c r="BH297" s="5">
        <f t="shared" si="124"/>
        <v>5</v>
      </c>
      <c r="BI297" s="5">
        <f t="shared" si="124"/>
        <v>5</v>
      </c>
      <c r="BJ297" s="5">
        <f t="shared" si="124"/>
        <v>5</v>
      </c>
      <c r="BK297" s="5">
        <f t="shared" si="124"/>
        <v>5</v>
      </c>
      <c r="BL297" s="5">
        <f t="shared" si="124"/>
        <v>5</v>
      </c>
      <c r="BM297" s="5">
        <f t="shared" si="124"/>
        <v>5</v>
      </c>
      <c r="BN297" s="5">
        <f t="shared" si="124"/>
        <v>5</v>
      </c>
      <c r="BO297" s="5">
        <f t="shared" si="124"/>
        <v>5</v>
      </c>
      <c r="BP297" s="5">
        <f t="shared" si="124"/>
        <v>5</v>
      </c>
      <c r="BQ297" s="5">
        <f t="shared" si="124"/>
        <v>5</v>
      </c>
    </row>
    <row r="298" spans="1:69" outlineLevel="1"/>
    <row r="299" spans="1:69" outlineLevel="1"/>
    <row r="300" spans="1:69" outlineLevel="1">
      <c r="B300" s="25" t="s">
        <v>344</v>
      </c>
    </row>
    <row r="301" spans="1:69" outlineLevel="2">
      <c r="E301" s="5" t="str">
        <f t="shared" ref="E301:BQ301" si="125" xml:space="preserve">  E$28</f>
        <v>Period number</v>
      </c>
      <c r="F301" s="5">
        <f t="shared" si="125"/>
        <v>0</v>
      </c>
      <c r="G301" s="5" t="str">
        <f t="shared" si="125"/>
        <v>Counter</v>
      </c>
      <c r="H301" s="5">
        <f t="shared" si="125"/>
        <v>0</v>
      </c>
      <c r="I301" s="5">
        <f t="shared" si="125"/>
        <v>0</v>
      </c>
      <c r="J301" s="5">
        <f t="shared" si="125"/>
        <v>1</v>
      </c>
      <c r="K301" s="5">
        <f t="shared" si="125"/>
        <v>2</v>
      </c>
      <c r="L301" s="5">
        <f t="shared" si="125"/>
        <v>3</v>
      </c>
      <c r="M301" s="5">
        <f t="shared" si="125"/>
        <v>4</v>
      </c>
      <c r="N301" s="5">
        <f t="shared" si="125"/>
        <v>5</v>
      </c>
      <c r="O301" s="5">
        <f t="shared" si="125"/>
        <v>6</v>
      </c>
      <c r="P301" s="5">
        <f t="shared" si="125"/>
        <v>7</v>
      </c>
      <c r="Q301" s="5">
        <f t="shared" si="125"/>
        <v>8</v>
      </c>
      <c r="R301" s="5">
        <f t="shared" si="125"/>
        <v>9</v>
      </c>
      <c r="S301" s="5">
        <f t="shared" si="125"/>
        <v>10</v>
      </c>
      <c r="T301" s="5">
        <f t="shared" si="125"/>
        <v>11</v>
      </c>
      <c r="U301" s="5">
        <f t="shared" si="125"/>
        <v>12</v>
      </c>
      <c r="V301" s="5">
        <f t="shared" si="125"/>
        <v>13</v>
      </c>
      <c r="W301" s="5">
        <f t="shared" si="125"/>
        <v>14</v>
      </c>
      <c r="X301" s="5">
        <f t="shared" si="125"/>
        <v>15</v>
      </c>
      <c r="Y301" s="5">
        <f t="shared" si="125"/>
        <v>16</v>
      </c>
      <c r="Z301" s="5">
        <f t="shared" si="125"/>
        <v>17</v>
      </c>
      <c r="AA301" s="5">
        <f t="shared" si="125"/>
        <v>18</v>
      </c>
      <c r="AB301" s="5">
        <f t="shared" si="125"/>
        <v>19</v>
      </c>
      <c r="AC301" s="5">
        <f t="shared" si="125"/>
        <v>20</v>
      </c>
      <c r="AD301" s="5">
        <f t="shared" si="125"/>
        <v>21</v>
      </c>
      <c r="AE301" s="5">
        <f t="shared" si="125"/>
        <v>22</v>
      </c>
      <c r="AF301" s="5">
        <f t="shared" si="125"/>
        <v>23</v>
      </c>
      <c r="AG301" s="5">
        <f t="shared" si="125"/>
        <v>24</v>
      </c>
      <c r="AH301" s="5">
        <f t="shared" si="125"/>
        <v>25</v>
      </c>
      <c r="AI301" s="5">
        <f t="shared" si="125"/>
        <v>26</v>
      </c>
      <c r="AJ301" s="5">
        <f t="shared" si="125"/>
        <v>27</v>
      </c>
      <c r="AK301" s="5">
        <f t="shared" si="125"/>
        <v>28</v>
      </c>
      <c r="AL301" s="5">
        <f t="shared" si="125"/>
        <v>29</v>
      </c>
      <c r="AM301" s="5">
        <f t="shared" si="125"/>
        <v>30</v>
      </c>
      <c r="AN301" s="5">
        <f t="shared" si="125"/>
        <v>31</v>
      </c>
      <c r="AO301" s="5">
        <f t="shared" si="125"/>
        <v>32</v>
      </c>
      <c r="AP301" s="5">
        <f t="shared" si="125"/>
        <v>33</v>
      </c>
      <c r="AQ301" s="5">
        <f t="shared" si="125"/>
        <v>34</v>
      </c>
      <c r="AR301" s="5">
        <f t="shared" si="125"/>
        <v>35</v>
      </c>
      <c r="AS301" s="5">
        <f t="shared" si="125"/>
        <v>36</v>
      </c>
      <c r="AT301" s="5">
        <f t="shared" si="125"/>
        <v>37</v>
      </c>
      <c r="AU301" s="5">
        <f t="shared" si="125"/>
        <v>38</v>
      </c>
      <c r="AV301" s="5">
        <f t="shared" si="125"/>
        <v>39</v>
      </c>
      <c r="AW301" s="5">
        <f t="shared" si="125"/>
        <v>40</v>
      </c>
      <c r="AX301" s="5">
        <f t="shared" si="125"/>
        <v>41</v>
      </c>
      <c r="AY301" s="5">
        <f t="shared" si="125"/>
        <v>42</v>
      </c>
      <c r="AZ301" s="5">
        <f t="shared" si="125"/>
        <v>43</v>
      </c>
      <c r="BA301" s="5">
        <f t="shared" si="125"/>
        <v>44</v>
      </c>
      <c r="BB301" s="5">
        <f t="shared" si="125"/>
        <v>45</v>
      </c>
      <c r="BC301" s="5">
        <f t="shared" si="125"/>
        <v>46</v>
      </c>
      <c r="BD301" s="5">
        <f t="shared" si="125"/>
        <v>47</v>
      </c>
      <c r="BE301" s="5">
        <f t="shared" si="125"/>
        <v>48</v>
      </c>
      <c r="BF301" s="5">
        <f t="shared" si="125"/>
        <v>49</v>
      </c>
      <c r="BG301" s="5">
        <f t="shared" si="125"/>
        <v>50</v>
      </c>
      <c r="BH301" s="5">
        <f t="shared" si="125"/>
        <v>51</v>
      </c>
      <c r="BI301" s="5">
        <f t="shared" si="125"/>
        <v>52</v>
      </c>
      <c r="BJ301" s="5">
        <f t="shared" si="125"/>
        <v>53</v>
      </c>
      <c r="BK301" s="5">
        <f t="shared" si="125"/>
        <v>54</v>
      </c>
      <c r="BL301" s="5">
        <f t="shared" si="125"/>
        <v>55</v>
      </c>
      <c r="BM301" s="5">
        <f t="shared" si="125"/>
        <v>56</v>
      </c>
      <c r="BN301" s="5">
        <f t="shared" si="125"/>
        <v>57</v>
      </c>
      <c r="BO301" s="5">
        <f t="shared" si="125"/>
        <v>58</v>
      </c>
      <c r="BP301" s="5">
        <f t="shared" si="125"/>
        <v>59</v>
      </c>
      <c r="BQ301" s="5">
        <f t="shared" si="125"/>
        <v>60</v>
      </c>
    </row>
    <row r="302" spans="1:69" outlineLevel="2">
      <c r="E302" s="47" t="s">
        <v>344</v>
      </c>
      <c r="G302" s="47" t="s">
        <v>91</v>
      </c>
      <c r="I302" s="5">
        <f t="shared" ref="I302:BQ302" si="126" xml:space="preserve">  IF( MOD( I301, 12 ) = 0, ( I301 / 12 ), 0 )</f>
        <v>0</v>
      </c>
      <c r="J302" s="5">
        <f t="shared" si="126"/>
        <v>0</v>
      </c>
      <c r="K302" s="5">
        <f t="shared" si="126"/>
        <v>0</v>
      </c>
      <c r="L302" s="5">
        <f t="shared" si="126"/>
        <v>0</v>
      </c>
      <c r="M302" s="5">
        <f t="shared" si="126"/>
        <v>0</v>
      </c>
      <c r="N302" s="5">
        <f t="shared" si="126"/>
        <v>0</v>
      </c>
      <c r="O302" s="5">
        <f t="shared" si="126"/>
        <v>0</v>
      </c>
      <c r="P302" s="5">
        <f t="shared" si="126"/>
        <v>0</v>
      </c>
      <c r="Q302" s="5">
        <f t="shared" si="126"/>
        <v>0</v>
      </c>
      <c r="R302" s="5">
        <f t="shared" si="126"/>
        <v>0</v>
      </c>
      <c r="S302" s="5">
        <f t="shared" si="126"/>
        <v>0</v>
      </c>
      <c r="T302" s="5">
        <f t="shared" si="126"/>
        <v>0</v>
      </c>
      <c r="U302" s="5">
        <f t="shared" si="126"/>
        <v>1</v>
      </c>
      <c r="V302" s="5">
        <f t="shared" si="126"/>
        <v>0</v>
      </c>
      <c r="W302" s="5">
        <f t="shared" si="126"/>
        <v>0</v>
      </c>
      <c r="X302" s="5">
        <f t="shared" si="126"/>
        <v>0</v>
      </c>
      <c r="Y302" s="5">
        <f t="shared" si="126"/>
        <v>0</v>
      </c>
      <c r="Z302" s="5">
        <f t="shared" si="126"/>
        <v>0</v>
      </c>
      <c r="AA302" s="5">
        <f t="shared" si="126"/>
        <v>0</v>
      </c>
      <c r="AB302" s="5">
        <f t="shared" si="126"/>
        <v>0</v>
      </c>
      <c r="AC302" s="5">
        <f t="shared" si="126"/>
        <v>0</v>
      </c>
      <c r="AD302" s="5">
        <f t="shared" si="126"/>
        <v>0</v>
      </c>
      <c r="AE302" s="5">
        <f t="shared" si="126"/>
        <v>0</v>
      </c>
      <c r="AF302" s="5">
        <f t="shared" si="126"/>
        <v>0</v>
      </c>
      <c r="AG302" s="5">
        <f t="shared" si="126"/>
        <v>2</v>
      </c>
      <c r="AH302" s="5">
        <f t="shared" si="126"/>
        <v>0</v>
      </c>
      <c r="AI302" s="5">
        <f t="shared" si="126"/>
        <v>0</v>
      </c>
      <c r="AJ302" s="5">
        <f t="shared" si="126"/>
        <v>0</v>
      </c>
      <c r="AK302" s="5">
        <f t="shared" si="126"/>
        <v>0</v>
      </c>
      <c r="AL302" s="5">
        <f t="shared" si="126"/>
        <v>0</v>
      </c>
      <c r="AM302" s="5">
        <f t="shared" si="126"/>
        <v>0</v>
      </c>
      <c r="AN302" s="5">
        <f t="shared" si="126"/>
        <v>0</v>
      </c>
      <c r="AO302" s="5">
        <f t="shared" si="126"/>
        <v>0</v>
      </c>
      <c r="AP302" s="5">
        <f t="shared" si="126"/>
        <v>0</v>
      </c>
      <c r="AQ302" s="5">
        <f t="shared" si="126"/>
        <v>0</v>
      </c>
      <c r="AR302" s="5">
        <f t="shared" si="126"/>
        <v>0</v>
      </c>
      <c r="AS302" s="5">
        <f t="shared" si="126"/>
        <v>3</v>
      </c>
      <c r="AT302" s="5">
        <f t="shared" si="126"/>
        <v>0</v>
      </c>
      <c r="AU302" s="5">
        <f t="shared" si="126"/>
        <v>0</v>
      </c>
      <c r="AV302" s="5">
        <f t="shared" si="126"/>
        <v>0</v>
      </c>
      <c r="AW302" s="5">
        <f t="shared" si="126"/>
        <v>0</v>
      </c>
      <c r="AX302" s="5">
        <f t="shared" si="126"/>
        <v>0</v>
      </c>
      <c r="AY302" s="5">
        <f t="shared" si="126"/>
        <v>0</v>
      </c>
      <c r="AZ302" s="5">
        <f t="shared" si="126"/>
        <v>0</v>
      </c>
      <c r="BA302" s="5">
        <f t="shared" si="126"/>
        <v>0</v>
      </c>
      <c r="BB302" s="5">
        <f t="shared" si="126"/>
        <v>0</v>
      </c>
      <c r="BC302" s="5">
        <f t="shared" si="126"/>
        <v>0</v>
      </c>
      <c r="BD302" s="5">
        <f t="shared" si="126"/>
        <v>0</v>
      </c>
      <c r="BE302" s="5">
        <f t="shared" si="126"/>
        <v>4</v>
      </c>
      <c r="BF302" s="5">
        <f t="shared" si="126"/>
        <v>0</v>
      </c>
      <c r="BG302" s="5">
        <f t="shared" si="126"/>
        <v>0</v>
      </c>
      <c r="BH302" s="5">
        <f t="shared" si="126"/>
        <v>0</v>
      </c>
      <c r="BI302" s="5">
        <f t="shared" si="126"/>
        <v>0</v>
      </c>
      <c r="BJ302" s="5">
        <f t="shared" si="126"/>
        <v>0</v>
      </c>
      <c r="BK302" s="5">
        <f t="shared" si="126"/>
        <v>0</v>
      </c>
      <c r="BL302" s="5">
        <f t="shared" si="126"/>
        <v>0</v>
      </c>
      <c r="BM302" s="5">
        <f t="shared" si="126"/>
        <v>0</v>
      </c>
      <c r="BN302" s="5">
        <f t="shared" si="126"/>
        <v>0</v>
      </c>
      <c r="BO302" s="5">
        <f t="shared" si="126"/>
        <v>0</v>
      </c>
      <c r="BP302" s="5">
        <f t="shared" si="126"/>
        <v>0</v>
      </c>
      <c r="BQ302" s="5">
        <f t="shared" si="126"/>
        <v>5</v>
      </c>
    </row>
    <row r="303" spans="1:69" outlineLevel="1"/>
    <row r="304" spans="1:69" outlineLevel="1"/>
    <row r="305" spans="1:69" outlineLevel="1">
      <c r="B305" s="25" t="s">
        <v>11</v>
      </c>
    </row>
    <row r="306" spans="1:69" outlineLevel="2">
      <c r="A306" s="18"/>
      <c r="B306" s="18"/>
      <c r="C306" s="28"/>
      <c r="D306" s="27"/>
      <c r="E306" s="20" t="str">
        <f xml:space="preserve">  InpC!E$102</f>
        <v>Start date</v>
      </c>
      <c r="F306" s="20">
        <f xml:space="preserve">  InpC!F$102</f>
        <v>45047</v>
      </c>
      <c r="G306" s="20" t="str">
        <f xml:space="preserve">  InpC!G$102</f>
        <v>date</v>
      </c>
      <c r="M306" s="8"/>
    </row>
    <row r="307" spans="1:69" outlineLevel="2">
      <c r="E307" s="47" t="s">
        <v>11</v>
      </c>
      <c r="F307" s="2">
        <f xml:space="preserve">  $F306 - 1</f>
        <v>45046</v>
      </c>
      <c r="G307" s="47" t="s">
        <v>214</v>
      </c>
      <c r="M307" s="2"/>
    </row>
    <row r="308" spans="1:69" outlineLevel="1"/>
    <row r="309" spans="1:69" outlineLevel="1"/>
    <row r="310" spans="1:69" outlineLevel="1">
      <c r="B310" s="25" t="s">
        <v>283</v>
      </c>
    </row>
    <row r="311" spans="1:69" outlineLevel="2">
      <c r="A311" s="18"/>
      <c r="B311" s="18"/>
      <c r="C311" s="28"/>
      <c r="D311" s="27"/>
      <c r="E311" s="4" t="str">
        <f xml:space="preserve">  InpC!E$101</f>
        <v>Financial year end month</v>
      </c>
      <c r="F311" s="4">
        <f xml:space="preserve">  InpC!F$101</f>
        <v>4</v>
      </c>
      <c r="G311" s="4" t="str">
        <f xml:space="preserve">  InpC!G$101</f>
        <v>Months</v>
      </c>
      <c r="M311" s="2"/>
    </row>
    <row r="312" spans="1:69" outlineLevel="2">
      <c r="E312" s="5" t="str">
        <f t="shared" ref="E312:BQ312" si="127" xml:space="preserve">  E$28</f>
        <v>Period number</v>
      </c>
      <c r="F312" s="5">
        <f t="shared" si="127"/>
        <v>0</v>
      </c>
      <c r="G312" s="5" t="str">
        <f t="shared" si="127"/>
        <v>Counter</v>
      </c>
      <c r="H312" s="5">
        <f t="shared" si="127"/>
        <v>0</v>
      </c>
      <c r="I312" s="5">
        <f t="shared" si="127"/>
        <v>0</v>
      </c>
      <c r="J312" s="5">
        <f t="shared" si="127"/>
        <v>1</v>
      </c>
      <c r="K312" s="5">
        <f t="shared" si="127"/>
        <v>2</v>
      </c>
      <c r="L312" s="5">
        <f t="shared" si="127"/>
        <v>3</v>
      </c>
      <c r="M312" s="5">
        <f t="shared" si="127"/>
        <v>4</v>
      </c>
      <c r="N312" s="5">
        <f t="shared" si="127"/>
        <v>5</v>
      </c>
      <c r="O312" s="5">
        <f t="shared" si="127"/>
        <v>6</v>
      </c>
      <c r="P312" s="5">
        <f t="shared" si="127"/>
        <v>7</v>
      </c>
      <c r="Q312" s="5">
        <f t="shared" si="127"/>
        <v>8</v>
      </c>
      <c r="R312" s="5">
        <f t="shared" si="127"/>
        <v>9</v>
      </c>
      <c r="S312" s="5">
        <f t="shared" si="127"/>
        <v>10</v>
      </c>
      <c r="T312" s="5">
        <f t="shared" si="127"/>
        <v>11</v>
      </c>
      <c r="U312" s="5">
        <f t="shared" si="127"/>
        <v>12</v>
      </c>
      <c r="V312" s="5">
        <f t="shared" si="127"/>
        <v>13</v>
      </c>
      <c r="W312" s="5">
        <f t="shared" si="127"/>
        <v>14</v>
      </c>
      <c r="X312" s="5">
        <f t="shared" si="127"/>
        <v>15</v>
      </c>
      <c r="Y312" s="5">
        <f t="shared" si="127"/>
        <v>16</v>
      </c>
      <c r="Z312" s="5">
        <f t="shared" si="127"/>
        <v>17</v>
      </c>
      <c r="AA312" s="5">
        <f t="shared" si="127"/>
        <v>18</v>
      </c>
      <c r="AB312" s="5">
        <f t="shared" si="127"/>
        <v>19</v>
      </c>
      <c r="AC312" s="5">
        <f t="shared" si="127"/>
        <v>20</v>
      </c>
      <c r="AD312" s="5">
        <f t="shared" si="127"/>
        <v>21</v>
      </c>
      <c r="AE312" s="5">
        <f t="shared" si="127"/>
        <v>22</v>
      </c>
      <c r="AF312" s="5">
        <f t="shared" si="127"/>
        <v>23</v>
      </c>
      <c r="AG312" s="5">
        <f t="shared" si="127"/>
        <v>24</v>
      </c>
      <c r="AH312" s="5">
        <f t="shared" si="127"/>
        <v>25</v>
      </c>
      <c r="AI312" s="5">
        <f t="shared" si="127"/>
        <v>26</v>
      </c>
      <c r="AJ312" s="5">
        <f t="shared" si="127"/>
        <v>27</v>
      </c>
      <c r="AK312" s="5">
        <f t="shared" si="127"/>
        <v>28</v>
      </c>
      <c r="AL312" s="5">
        <f t="shared" si="127"/>
        <v>29</v>
      </c>
      <c r="AM312" s="5">
        <f t="shared" si="127"/>
        <v>30</v>
      </c>
      <c r="AN312" s="5">
        <f t="shared" si="127"/>
        <v>31</v>
      </c>
      <c r="AO312" s="5">
        <f t="shared" si="127"/>
        <v>32</v>
      </c>
      <c r="AP312" s="5">
        <f t="shared" si="127"/>
        <v>33</v>
      </c>
      <c r="AQ312" s="5">
        <f t="shared" si="127"/>
        <v>34</v>
      </c>
      <c r="AR312" s="5">
        <f t="shared" si="127"/>
        <v>35</v>
      </c>
      <c r="AS312" s="5">
        <f t="shared" si="127"/>
        <v>36</v>
      </c>
      <c r="AT312" s="5">
        <f t="shared" si="127"/>
        <v>37</v>
      </c>
      <c r="AU312" s="5">
        <f t="shared" si="127"/>
        <v>38</v>
      </c>
      <c r="AV312" s="5">
        <f t="shared" si="127"/>
        <v>39</v>
      </c>
      <c r="AW312" s="5">
        <f t="shared" si="127"/>
        <v>40</v>
      </c>
      <c r="AX312" s="5">
        <f t="shared" si="127"/>
        <v>41</v>
      </c>
      <c r="AY312" s="5">
        <f t="shared" si="127"/>
        <v>42</v>
      </c>
      <c r="AZ312" s="5">
        <f t="shared" si="127"/>
        <v>43</v>
      </c>
      <c r="BA312" s="5">
        <f t="shared" si="127"/>
        <v>44</v>
      </c>
      <c r="BB312" s="5">
        <f t="shared" si="127"/>
        <v>45</v>
      </c>
      <c r="BC312" s="5">
        <f t="shared" si="127"/>
        <v>46</v>
      </c>
      <c r="BD312" s="5">
        <f t="shared" si="127"/>
        <v>47</v>
      </c>
      <c r="BE312" s="5">
        <f t="shared" si="127"/>
        <v>48</v>
      </c>
      <c r="BF312" s="5">
        <f t="shared" si="127"/>
        <v>49</v>
      </c>
      <c r="BG312" s="5">
        <f t="shared" si="127"/>
        <v>50</v>
      </c>
      <c r="BH312" s="5">
        <f t="shared" si="127"/>
        <v>51</v>
      </c>
      <c r="BI312" s="5">
        <f t="shared" si="127"/>
        <v>52</v>
      </c>
      <c r="BJ312" s="5">
        <f t="shared" si="127"/>
        <v>53</v>
      </c>
      <c r="BK312" s="5">
        <f t="shared" si="127"/>
        <v>54</v>
      </c>
      <c r="BL312" s="5">
        <f t="shared" si="127"/>
        <v>55</v>
      </c>
      <c r="BM312" s="5">
        <f t="shared" si="127"/>
        <v>56</v>
      </c>
      <c r="BN312" s="5">
        <f t="shared" si="127"/>
        <v>57</v>
      </c>
      <c r="BO312" s="5">
        <f t="shared" si="127"/>
        <v>58</v>
      </c>
      <c r="BP312" s="5">
        <f t="shared" si="127"/>
        <v>59</v>
      </c>
      <c r="BQ312" s="5">
        <f t="shared" si="127"/>
        <v>60</v>
      </c>
    </row>
    <row r="313" spans="1:69" outlineLevel="2">
      <c r="E313" s="8" t="str">
        <f t="shared" ref="E313:BQ313" si="128" xml:space="preserve">  E$19</f>
        <v>Model period end</v>
      </c>
      <c r="F313" s="8">
        <f t="shared" si="128"/>
        <v>0</v>
      </c>
      <c r="G313" s="8" t="str">
        <f t="shared" si="128"/>
        <v>date</v>
      </c>
      <c r="H313" s="8">
        <f t="shared" si="128"/>
        <v>0</v>
      </c>
      <c r="I313" s="8">
        <f t="shared" si="128"/>
        <v>0</v>
      </c>
      <c r="J313" s="8">
        <f t="shared" si="128"/>
        <v>45077</v>
      </c>
      <c r="K313" s="8">
        <f t="shared" si="128"/>
        <v>45107</v>
      </c>
      <c r="L313" s="8">
        <f t="shared" si="128"/>
        <v>45138</v>
      </c>
      <c r="M313" s="8">
        <f t="shared" si="128"/>
        <v>45169</v>
      </c>
      <c r="N313" s="8">
        <f t="shared" si="128"/>
        <v>45199</v>
      </c>
      <c r="O313" s="8">
        <f t="shared" si="128"/>
        <v>45230</v>
      </c>
      <c r="P313" s="8">
        <f t="shared" si="128"/>
        <v>45260</v>
      </c>
      <c r="Q313" s="8">
        <f t="shared" si="128"/>
        <v>45291</v>
      </c>
      <c r="R313" s="8">
        <f t="shared" si="128"/>
        <v>45322</v>
      </c>
      <c r="S313" s="8">
        <f t="shared" si="128"/>
        <v>45351</v>
      </c>
      <c r="T313" s="8">
        <f t="shared" si="128"/>
        <v>45382</v>
      </c>
      <c r="U313" s="8">
        <f t="shared" si="128"/>
        <v>45412</v>
      </c>
      <c r="V313" s="8">
        <f t="shared" si="128"/>
        <v>45443</v>
      </c>
      <c r="W313" s="8">
        <f t="shared" si="128"/>
        <v>45473</v>
      </c>
      <c r="X313" s="8">
        <f t="shared" si="128"/>
        <v>45504</v>
      </c>
      <c r="Y313" s="8">
        <f t="shared" si="128"/>
        <v>45535</v>
      </c>
      <c r="Z313" s="8">
        <f t="shared" si="128"/>
        <v>45565</v>
      </c>
      <c r="AA313" s="8">
        <f t="shared" si="128"/>
        <v>45596</v>
      </c>
      <c r="AB313" s="8">
        <f t="shared" si="128"/>
        <v>45626</v>
      </c>
      <c r="AC313" s="8">
        <f t="shared" si="128"/>
        <v>45657</v>
      </c>
      <c r="AD313" s="8">
        <f t="shared" si="128"/>
        <v>45688</v>
      </c>
      <c r="AE313" s="8">
        <f t="shared" si="128"/>
        <v>45716</v>
      </c>
      <c r="AF313" s="8">
        <f t="shared" si="128"/>
        <v>45747</v>
      </c>
      <c r="AG313" s="8">
        <f t="shared" si="128"/>
        <v>45777</v>
      </c>
      <c r="AH313" s="8">
        <f t="shared" si="128"/>
        <v>45808</v>
      </c>
      <c r="AI313" s="8">
        <f t="shared" si="128"/>
        <v>45838</v>
      </c>
      <c r="AJ313" s="8">
        <f t="shared" si="128"/>
        <v>45869</v>
      </c>
      <c r="AK313" s="8">
        <f t="shared" si="128"/>
        <v>45900</v>
      </c>
      <c r="AL313" s="8">
        <f t="shared" si="128"/>
        <v>45930</v>
      </c>
      <c r="AM313" s="8">
        <f t="shared" si="128"/>
        <v>45961</v>
      </c>
      <c r="AN313" s="8">
        <f t="shared" si="128"/>
        <v>45991</v>
      </c>
      <c r="AO313" s="8">
        <f t="shared" si="128"/>
        <v>46022</v>
      </c>
      <c r="AP313" s="8">
        <f t="shared" si="128"/>
        <v>46053</v>
      </c>
      <c r="AQ313" s="8">
        <f t="shared" si="128"/>
        <v>46081</v>
      </c>
      <c r="AR313" s="8">
        <f t="shared" si="128"/>
        <v>46112</v>
      </c>
      <c r="AS313" s="8">
        <f t="shared" si="128"/>
        <v>46142</v>
      </c>
      <c r="AT313" s="8">
        <f t="shared" si="128"/>
        <v>46173</v>
      </c>
      <c r="AU313" s="8">
        <f t="shared" si="128"/>
        <v>46203</v>
      </c>
      <c r="AV313" s="8">
        <f t="shared" si="128"/>
        <v>46234</v>
      </c>
      <c r="AW313" s="8">
        <f t="shared" si="128"/>
        <v>46265</v>
      </c>
      <c r="AX313" s="8">
        <f t="shared" si="128"/>
        <v>46295</v>
      </c>
      <c r="AY313" s="8">
        <f t="shared" si="128"/>
        <v>46326</v>
      </c>
      <c r="AZ313" s="8">
        <f t="shared" si="128"/>
        <v>46356</v>
      </c>
      <c r="BA313" s="8">
        <f t="shared" si="128"/>
        <v>46387</v>
      </c>
      <c r="BB313" s="8">
        <f t="shared" si="128"/>
        <v>46418</v>
      </c>
      <c r="BC313" s="8">
        <f t="shared" si="128"/>
        <v>46446</v>
      </c>
      <c r="BD313" s="8">
        <f t="shared" si="128"/>
        <v>46477</v>
      </c>
      <c r="BE313" s="8">
        <f t="shared" si="128"/>
        <v>46507</v>
      </c>
      <c r="BF313" s="8">
        <f t="shared" si="128"/>
        <v>46538</v>
      </c>
      <c r="BG313" s="8">
        <f t="shared" si="128"/>
        <v>46568</v>
      </c>
      <c r="BH313" s="8">
        <f t="shared" si="128"/>
        <v>46599</v>
      </c>
      <c r="BI313" s="8">
        <f t="shared" si="128"/>
        <v>46630</v>
      </c>
      <c r="BJ313" s="8">
        <f t="shared" si="128"/>
        <v>46660</v>
      </c>
      <c r="BK313" s="8">
        <f t="shared" si="128"/>
        <v>46691</v>
      </c>
      <c r="BL313" s="8">
        <f t="shared" si="128"/>
        <v>46721</v>
      </c>
      <c r="BM313" s="8">
        <f t="shared" si="128"/>
        <v>46752</v>
      </c>
      <c r="BN313" s="8">
        <f t="shared" si="128"/>
        <v>46783</v>
      </c>
      <c r="BO313" s="8">
        <f t="shared" si="128"/>
        <v>46812</v>
      </c>
      <c r="BP313" s="8">
        <f t="shared" si="128"/>
        <v>46843</v>
      </c>
      <c r="BQ313" s="8">
        <f t="shared" si="128"/>
        <v>46873</v>
      </c>
    </row>
    <row r="314" spans="1:69" outlineLevel="2">
      <c r="E314" s="47" t="s">
        <v>283</v>
      </c>
      <c r="G314" s="47" t="s">
        <v>91</v>
      </c>
      <c r="J314" s="5">
        <f t="shared" ref="J314:BQ314" si="129" xml:space="preserve">  IF( J312 = 1, 1, I314 + IF( MONTH( I313 ) = $F311, 1, 0 ) )</f>
        <v>1</v>
      </c>
      <c r="K314" s="5">
        <f t="shared" si="129"/>
        <v>1</v>
      </c>
      <c r="L314" s="5">
        <f t="shared" si="129"/>
        <v>1</v>
      </c>
      <c r="M314" s="5">
        <f t="shared" si="129"/>
        <v>1</v>
      </c>
      <c r="N314" s="5">
        <f t="shared" si="129"/>
        <v>1</v>
      </c>
      <c r="O314" s="5">
        <f t="shared" si="129"/>
        <v>1</v>
      </c>
      <c r="P314" s="5">
        <f t="shared" si="129"/>
        <v>1</v>
      </c>
      <c r="Q314" s="5">
        <f t="shared" si="129"/>
        <v>1</v>
      </c>
      <c r="R314" s="5">
        <f t="shared" si="129"/>
        <v>1</v>
      </c>
      <c r="S314" s="5">
        <f t="shared" si="129"/>
        <v>1</v>
      </c>
      <c r="T314" s="5">
        <f t="shared" si="129"/>
        <v>1</v>
      </c>
      <c r="U314" s="5">
        <f t="shared" si="129"/>
        <v>1</v>
      </c>
      <c r="V314" s="5">
        <f t="shared" si="129"/>
        <v>2</v>
      </c>
      <c r="W314" s="5">
        <f t="shared" si="129"/>
        <v>2</v>
      </c>
      <c r="X314" s="5">
        <f t="shared" si="129"/>
        <v>2</v>
      </c>
      <c r="Y314" s="5">
        <f t="shared" si="129"/>
        <v>2</v>
      </c>
      <c r="Z314" s="5">
        <f t="shared" si="129"/>
        <v>2</v>
      </c>
      <c r="AA314" s="5">
        <f t="shared" si="129"/>
        <v>2</v>
      </c>
      <c r="AB314" s="5">
        <f t="shared" si="129"/>
        <v>2</v>
      </c>
      <c r="AC314" s="5">
        <f t="shared" si="129"/>
        <v>2</v>
      </c>
      <c r="AD314" s="5">
        <f t="shared" si="129"/>
        <v>2</v>
      </c>
      <c r="AE314" s="5">
        <f t="shared" si="129"/>
        <v>2</v>
      </c>
      <c r="AF314" s="5">
        <f t="shared" si="129"/>
        <v>2</v>
      </c>
      <c r="AG314" s="5">
        <f t="shared" si="129"/>
        <v>2</v>
      </c>
      <c r="AH314" s="5">
        <f t="shared" si="129"/>
        <v>3</v>
      </c>
      <c r="AI314" s="5">
        <f t="shared" si="129"/>
        <v>3</v>
      </c>
      <c r="AJ314" s="5">
        <f t="shared" si="129"/>
        <v>3</v>
      </c>
      <c r="AK314" s="5">
        <f t="shared" si="129"/>
        <v>3</v>
      </c>
      <c r="AL314" s="5">
        <f t="shared" si="129"/>
        <v>3</v>
      </c>
      <c r="AM314" s="5">
        <f t="shared" si="129"/>
        <v>3</v>
      </c>
      <c r="AN314" s="5">
        <f t="shared" si="129"/>
        <v>3</v>
      </c>
      <c r="AO314" s="5">
        <f t="shared" si="129"/>
        <v>3</v>
      </c>
      <c r="AP314" s="5">
        <f t="shared" si="129"/>
        <v>3</v>
      </c>
      <c r="AQ314" s="5">
        <f t="shared" si="129"/>
        <v>3</v>
      </c>
      <c r="AR314" s="5">
        <f t="shared" si="129"/>
        <v>3</v>
      </c>
      <c r="AS314" s="5">
        <f t="shared" si="129"/>
        <v>3</v>
      </c>
      <c r="AT314" s="5">
        <f t="shared" si="129"/>
        <v>4</v>
      </c>
      <c r="AU314" s="5">
        <f t="shared" si="129"/>
        <v>4</v>
      </c>
      <c r="AV314" s="5">
        <f t="shared" si="129"/>
        <v>4</v>
      </c>
      <c r="AW314" s="5">
        <f t="shared" si="129"/>
        <v>4</v>
      </c>
      <c r="AX314" s="5">
        <f t="shared" si="129"/>
        <v>4</v>
      </c>
      <c r="AY314" s="5">
        <f t="shared" si="129"/>
        <v>4</v>
      </c>
      <c r="AZ314" s="5">
        <f t="shared" si="129"/>
        <v>4</v>
      </c>
      <c r="BA314" s="5">
        <f t="shared" si="129"/>
        <v>4</v>
      </c>
      <c r="BB314" s="5">
        <f t="shared" si="129"/>
        <v>4</v>
      </c>
      <c r="BC314" s="5">
        <f t="shared" si="129"/>
        <v>4</v>
      </c>
      <c r="BD314" s="5">
        <f t="shared" si="129"/>
        <v>4</v>
      </c>
      <c r="BE314" s="5">
        <f t="shared" si="129"/>
        <v>4</v>
      </c>
      <c r="BF314" s="5">
        <f t="shared" si="129"/>
        <v>5</v>
      </c>
      <c r="BG314" s="5">
        <f t="shared" si="129"/>
        <v>5</v>
      </c>
      <c r="BH314" s="5">
        <f t="shared" si="129"/>
        <v>5</v>
      </c>
      <c r="BI314" s="5">
        <f t="shared" si="129"/>
        <v>5</v>
      </c>
      <c r="BJ314" s="5">
        <f t="shared" si="129"/>
        <v>5</v>
      </c>
      <c r="BK314" s="5">
        <f t="shared" si="129"/>
        <v>5</v>
      </c>
      <c r="BL314" s="5">
        <f t="shared" si="129"/>
        <v>5</v>
      </c>
      <c r="BM314" s="5">
        <f t="shared" si="129"/>
        <v>5</v>
      </c>
      <c r="BN314" s="5">
        <f t="shared" si="129"/>
        <v>5</v>
      </c>
      <c r="BO314" s="5">
        <f t="shared" si="129"/>
        <v>5</v>
      </c>
      <c r="BP314" s="5">
        <f t="shared" si="129"/>
        <v>5</v>
      </c>
      <c r="BQ314" s="5">
        <f t="shared" si="129"/>
        <v>5</v>
      </c>
    </row>
    <row r="315" spans="1:69" outlineLevel="1"/>
    <row r="316" spans="1:69" outlineLevel="1"/>
    <row r="317" spans="1:69" outlineLevel="1">
      <c r="B317" s="25" t="s">
        <v>172</v>
      </c>
    </row>
    <row r="318" spans="1:69" outlineLevel="2">
      <c r="A318" s="18"/>
      <c r="B318" s="18"/>
      <c r="C318" s="28"/>
      <c r="D318" s="27"/>
      <c r="E318" s="4" t="str">
        <f xml:space="preserve">  InpC!E$101</f>
        <v>Financial year end month</v>
      </c>
      <c r="F318" s="4">
        <f xml:space="preserve">  InpC!F$101</f>
        <v>4</v>
      </c>
      <c r="G318" s="4" t="str">
        <f xml:space="preserve">  InpC!G$101</f>
        <v>Months</v>
      </c>
      <c r="M318" s="2"/>
    </row>
    <row r="319" spans="1:69" outlineLevel="2">
      <c r="E319" s="8" t="str">
        <f t="shared" ref="E319:BQ319" si="130" xml:space="preserve">  E$19</f>
        <v>Model period end</v>
      </c>
      <c r="F319" s="8">
        <f t="shared" si="130"/>
        <v>0</v>
      </c>
      <c r="G319" s="8" t="str">
        <f t="shared" si="130"/>
        <v>date</v>
      </c>
      <c r="H319" s="8">
        <f t="shared" si="130"/>
        <v>0</v>
      </c>
      <c r="I319" s="8">
        <f t="shared" si="130"/>
        <v>0</v>
      </c>
      <c r="J319" s="8">
        <f t="shared" si="130"/>
        <v>45077</v>
      </c>
      <c r="K319" s="8">
        <f t="shared" si="130"/>
        <v>45107</v>
      </c>
      <c r="L319" s="8">
        <f t="shared" si="130"/>
        <v>45138</v>
      </c>
      <c r="M319" s="8">
        <f t="shared" si="130"/>
        <v>45169</v>
      </c>
      <c r="N319" s="8">
        <f t="shared" si="130"/>
        <v>45199</v>
      </c>
      <c r="O319" s="8">
        <f t="shared" si="130"/>
        <v>45230</v>
      </c>
      <c r="P319" s="8">
        <f t="shared" si="130"/>
        <v>45260</v>
      </c>
      <c r="Q319" s="8">
        <f t="shared" si="130"/>
        <v>45291</v>
      </c>
      <c r="R319" s="8">
        <f t="shared" si="130"/>
        <v>45322</v>
      </c>
      <c r="S319" s="8">
        <f t="shared" si="130"/>
        <v>45351</v>
      </c>
      <c r="T319" s="8">
        <f t="shared" si="130"/>
        <v>45382</v>
      </c>
      <c r="U319" s="8">
        <f t="shared" si="130"/>
        <v>45412</v>
      </c>
      <c r="V319" s="8">
        <f t="shared" si="130"/>
        <v>45443</v>
      </c>
      <c r="W319" s="8">
        <f t="shared" si="130"/>
        <v>45473</v>
      </c>
      <c r="X319" s="8">
        <f t="shared" si="130"/>
        <v>45504</v>
      </c>
      <c r="Y319" s="8">
        <f t="shared" si="130"/>
        <v>45535</v>
      </c>
      <c r="Z319" s="8">
        <f t="shared" si="130"/>
        <v>45565</v>
      </c>
      <c r="AA319" s="8">
        <f t="shared" si="130"/>
        <v>45596</v>
      </c>
      <c r="AB319" s="8">
        <f t="shared" si="130"/>
        <v>45626</v>
      </c>
      <c r="AC319" s="8">
        <f t="shared" si="130"/>
        <v>45657</v>
      </c>
      <c r="AD319" s="8">
        <f t="shared" si="130"/>
        <v>45688</v>
      </c>
      <c r="AE319" s="8">
        <f t="shared" si="130"/>
        <v>45716</v>
      </c>
      <c r="AF319" s="8">
        <f t="shared" si="130"/>
        <v>45747</v>
      </c>
      <c r="AG319" s="8">
        <f t="shared" si="130"/>
        <v>45777</v>
      </c>
      <c r="AH319" s="8">
        <f t="shared" si="130"/>
        <v>45808</v>
      </c>
      <c r="AI319" s="8">
        <f t="shared" si="130"/>
        <v>45838</v>
      </c>
      <c r="AJ319" s="8">
        <f t="shared" si="130"/>
        <v>45869</v>
      </c>
      <c r="AK319" s="8">
        <f t="shared" si="130"/>
        <v>45900</v>
      </c>
      <c r="AL319" s="8">
        <f t="shared" si="130"/>
        <v>45930</v>
      </c>
      <c r="AM319" s="8">
        <f t="shared" si="130"/>
        <v>45961</v>
      </c>
      <c r="AN319" s="8">
        <f t="shared" si="130"/>
        <v>45991</v>
      </c>
      <c r="AO319" s="8">
        <f t="shared" si="130"/>
        <v>46022</v>
      </c>
      <c r="AP319" s="8">
        <f t="shared" si="130"/>
        <v>46053</v>
      </c>
      <c r="AQ319" s="8">
        <f t="shared" si="130"/>
        <v>46081</v>
      </c>
      <c r="AR319" s="8">
        <f t="shared" si="130"/>
        <v>46112</v>
      </c>
      <c r="AS319" s="8">
        <f t="shared" si="130"/>
        <v>46142</v>
      </c>
      <c r="AT319" s="8">
        <f t="shared" si="130"/>
        <v>46173</v>
      </c>
      <c r="AU319" s="8">
        <f t="shared" si="130"/>
        <v>46203</v>
      </c>
      <c r="AV319" s="8">
        <f t="shared" si="130"/>
        <v>46234</v>
      </c>
      <c r="AW319" s="8">
        <f t="shared" si="130"/>
        <v>46265</v>
      </c>
      <c r="AX319" s="8">
        <f t="shared" si="130"/>
        <v>46295</v>
      </c>
      <c r="AY319" s="8">
        <f t="shared" si="130"/>
        <v>46326</v>
      </c>
      <c r="AZ319" s="8">
        <f t="shared" si="130"/>
        <v>46356</v>
      </c>
      <c r="BA319" s="8">
        <f t="shared" si="130"/>
        <v>46387</v>
      </c>
      <c r="BB319" s="8">
        <f t="shared" si="130"/>
        <v>46418</v>
      </c>
      <c r="BC319" s="8">
        <f t="shared" si="130"/>
        <v>46446</v>
      </c>
      <c r="BD319" s="8">
        <f t="shared" si="130"/>
        <v>46477</v>
      </c>
      <c r="BE319" s="8">
        <f t="shared" si="130"/>
        <v>46507</v>
      </c>
      <c r="BF319" s="8">
        <f t="shared" si="130"/>
        <v>46538</v>
      </c>
      <c r="BG319" s="8">
        <f t="shared" si="130"/>
        <v>46568</v>
      </c>
      <c r="BH319" s="8">
        <f t="shared" si="130"/>
        <v>46599</v>
      </c>
      <c r="BI319" s="8">
        <f t="shared" si="130"/>
        <v>46630</v>
      </c>
      <c r="BJ319" s="8">
        <f t="shared" si="130"/>
        <v>46660</v>
      </c>
      <c r="BK319" s="8">
        <f t="shared" si="130"/>
        <v>46691</v>
      </c>
      <c r="BL319" s="8">
        <f t="shared" si="130"/>
        <v>46721</v>
      </c>
      <c r="BM319" s="8">
        <f t="shared" si="130"/>
        <v>46752</v>
      </c>
      <c r="BN319" s="8">
        <f t="shared" si="130"/>
        <v>46783</v>
      </c>
      <c r="BO319" s="8">
        <f t="shared" si="130"/>
        <v>46812</v>
      </c>
      <c r="BP319" s="8">
        <f t="shared" si="130"/>
        <v>46843</v>
      </c>
      <c r="BQ319" s="8">
        <f t="shared" si="130"/>
        <v>46873</v>
      </c>
    </row>
    <row r="320" spans="1:69" outlineLevel="2">
      <c r="E320" s="5" t="str">
        <f t="shared" ref="E320:BQ320" si="131" xml:space="preserve">  E$28</f>
        <v>Period number</v>
      </c>
      <c r="F320" s="5">
        <f t="shared" si="131"/>
        <v>0</v>
      </c>
      <c r="G320" s="5" t="str">
        <f t="shared" si="131"/>
        <v>Counter</v>
      </c>
      <c r="H320" s="5">
        <f t="shared" si="131"/>
        <v>0</v>
      </c>
      <c r="I320" s="5">
        <f t="shared" si="131"/>
        <v>0</v>
      </c>
      <c r="J320" s="5">
        <f t="shared" si="131"/>
        <v>1</v>
      </c>
      <c r="K320" s="5">
        <f t="shared" si="131"/>
        <v>2</v>
      </c>
      <c r="L320" s="5">
        <f t="shared" si="131"/>
        <v>3</v>
      </c>
      <c r="M320" s="5">
        <f t="shared" si="131"/>
        <v>4</v>
      </c>
      <c r="N320" s="5">
        <f t="shared" si="131"/>
        <v>5</v>
      </c>
      <c r="O320" s="5">
        <f t="shared" si="131"/>
        <v>6</v>
      </c>
      <c r="P320" s="5">
        <f t="shared" si="131"/>
        <v>7</v>
      </c>
      <c r="Q320" s="5">
        <f t="shared" si="131"/>
        <v>8</v>
      </c>
      <c r="R320" s="5">
        <f t="shared" si="131"/>
        <v>9</v>
      </c>
      <c r="S320" s="5">
        <f t="shared" si="131"/>
        <v>10</v>
      </c>
      <c r="T320" s="5">
        <f t="shared" si="131"/>
        <v>11</v>
      </c>
      <c r="U320" s="5">
        <f t="shared" si="131"/>
        <v>12</v>
      </c>
      <c r="V320" s="5">
        <f t="shared" si="131"/>
        <v>13</v>
      </c>
      <c r="W320" s="5">
        <f t="shared" si="131"/>
        <v>14</v>
      </c>
      <c r="X320" s="5">
        <f t="shared" si="131"/>
        <v>15</v>
      </c>
      <c r="Y320" s="5">
        <f t="shared" si="131"/>
        <v>16</v>
      </c>
      <c r="Z320" s="5">
        <f t="shared" si="131"/>
        <v>17</v>
      </c>
      <c r="AA320" s="5">
        <f t="shared" si="131"/>
        <v>18</v>
      </c>
      <c r="AB320" s="5">
        <f t="shared" si="131"/>
        <v>19</v>
      </c>
      <c r="AC320" s="5">
        <f t="shared" si="131"/>
        <v>20</v>
      </c>
      <c r="AD320" s="5">
        <f t="shared" si="131"/>
        <v>21</v>
      </c>
      <c r="AE320" s="5">
        <f t="shared" si="131"/>
        <v>22</v>
      </c>
      <c r="AF320" s="5">
        <f t="shared" si="131"/>
        <v>23</v>
      </c>
      <c r="AG320" s="5">
        <f t="shared" si="131"/>
        <v>24</v>
      </c>
      <c r="AH320" s="5">
        <f t="shared" si="131"/>
        <v>25</v>
      </c>
      <c r="AI320" s="5">
        <f t="shared" si="131"/>
        <v>26</v>
      </c>
      <c r="AJ320" s="5">
        <f t="shared" si="131"/>
        <v>27</v>
      </c>
      <c r="AK320" s="5">
        <f t="shared" si="131"/>
        <v>28</v>
      </c>
      <c r="AL320" s="5">
        <f t="shared" si="131"/>
        <v>29</v>
      </c>
      <c r="AM320" s="5">
        <f t="shared" si="131"/>
        <v>30</v>
      </c>
      <c r="AN320" s="5">
        <f t="shared" si="131"/>
        <v>31</v>
      </c>
      <c r="AO320" s="5">
        <f t="shared" si="131"/>
        <v>32</v>
      </c>
      <c r="AP320" s="5">
        <f t="shared" si="131"/>
        <v>33</v>
      </c>
      <c r="AQ320" s="5">
        <f t="shared" si="131"/>
        <v>34</v>
      </c>
      <c r="AR320" s="5">
        <f t="shared" si="131"/>
        <v>35</v>
      </c>
      <c r="AS320" s="5">
        <f t="shared" si="131"/>
        <v>36</v>
      </c>
      <c r="AT320" s="5">
        <f t="shared" si="131"/>
        <v>37</v>
      </c>
      <c r="AU320" s="5">
        <f t="shared" si="131"/>
        <v>38</v>
      </c>
      <c r="AV320" s="5">
        <f t="shared" si="131"/>
        <v>39</v>
      </c>
      <c r="AW320" s="5">
        <f t="shared" si="131"/>
        <v>40</v>
      </c>
      <c r="AX320" s="5">
        <f t="shared" si="131"/>
        <v>41</v>
      </c>
      <c r="AY320" s="5">
        <f t="shared" si="131"/>
        <v>42</v>
      </c>
      <c r="AZ320" s="5">
        <f t="shared" si="131"/>
        <v>43</v>
      </c>
      <c r="BA320" s="5">
        <f t="shared" si="131"/>
        <v>44</v>
      </c>
      <c r="BB320" s="5">
        <f t="shared" si="131"/>
        <v>45</v>
      </c>
      <c r="BC320" s="5">
        <f t="shared" si="131"/>
        <v>46</v>
      </c>
      <c r="BD320" s="5">
        <f t="shared" si="131"/>
        <v>47</v>
      </c>
      <c r="BE320" s="5">
        <f t="shared" si="131"/>
        <v>48</v>
      </c>
      <c r="BF320" s="5">
        <f t="shared" si="131"/>
        <v>49</v>
      </c>
      <c r="BG320" s="5">
        <f t="shared" si="131"/>
        <v>50</v>
      </c>
      <c r="BH320" s="5">
        <f t="shared" si="131"/>
        <v>51</v>
      </c>
      <c r="BI320" s="5">
        <f t="shared" si="131"/>
        <v>52</v>
      </c>
      <c r="BJ320" s="5">
        <f t="shared" si="131"/>
        <v>53</v>
      </c>
      <c r="BK320" s="5">
        <f t="shared" si="131"/>
        <v>54</v>
      </c>
      <c r="BL320" s="5">
        <f t="shared" si="131"/>
        <v>55</v>
      </c>
      <c r="BM320" s="5">
        <f t="shared" si="131"/>
        <v>56</v>
      </c>
      <c r="BN320" s="5">
        <f t="shared" si="131"/>
        <v>57</v>
      </c>
      <c r="BO320" s="5">
        <f t="shared" si="131"/>
        <v>58</v>
      </c>
      <c r="BP320" s="5">
        <f t="shared" si="131"/>
        <v>59</v>
      </c>
      <c r="BQ320" s="5">
        <f t="shared" si="131"/>
        <v>60</v>
      </c>
    </row>
    <row r="321" spans="1:69" outlineLevel="2">
      <c r="E321" s="47" t="s">
        <v>172</v>
      </c>
      <c r="G321" s="47" t="s">
        <v>91</v>
      </c>
      <c r="I321" s="5">
        <f t="shared" ref="I321:BQ321" si="132" xml:space="preserve">  IF( MONTH( I319 ) = $F318, ROUNDUP( I320 / 12, 0 ), 0 )</f>
        <v>0</v>
      </c>
      <c r="J321" s="5">
        <f t="shared" si="132"/>
        <v>0</v>
      </c>
      <c r="K321" s="5">
        <f t="shared" si="132"/>
        <v>0</v>
      </c>
      <c r="L321" s="5">
        <f t="shared" si="132"/>
        <v>0</v>
      </c>
      <c r="M321" s="5">
        <f t="shared" si="132"/>
        <v>0</v>
      </c>
      <c r="N321" s="5">
        <f t="shared" si="132"/>
        <v>0</v>
      </c>
      <c r="O321" s="5">
        <f t="shared" si="132"/>
        <v>0</v>
      </c>
      <c r="P321" s="5">
        <f t="shared" si="132"/>
        <v>0</v>
      </c>
      <c r="Q321" s="5">
        <f t="shared" si="132"/>
        <v>0</v>
      </c>
      <c r="R321" s="5">
        <f t="shared" si="132"/>
        <v>0</v>
      </c>
      <c r="S321" s="5">
        <f t="shared" si="132"/>
        <v>0</v>
      </c>
      <c r="T321" s="5">
        <f t="shared" si="132"/>
        <v>0</v>
      </c>
      <c r="U321" s="5">
        <f t="shared" si="132"/>
        <v>1</v>
      </c>
      <c r="V321" s="5">
        <f t="shared" si="132"/>
        <v>0</v>
      </c>
      <c r="W321" s="5">
        <f t="shared" si="132"/>
        <v>0</v>
      </c>
      <c r="X321" s="5">
        <f t="shared" si="132"/>
        <v>0</v>
      </c>
      <c r="Y321" s="5">
        <f t="shared" si="132"/>
        <v>0</v>
      </c>
      <c r="Z321" s="5">
        <f t="shared" si="132"/>
        <v>0</v>
      </c>
      <c r="AA321" s="5">
        <f t="shared" si="132"/>
        <v>0</v>
      </c>
      <c r="AB321" s="5">
        <f t="shared" si="132"/>
        <v>0</v>
      </c>
      <c r="AC321" s="5">
        <f t="shared" si="132"/>
        <v>0</v>
      </c>
      <c r="AD321" s="5">
        <f t="shared" si="132"/>
        <v>0</v>
      </c>
      <c r="AE321" s="5">
        <f t="shared" si="132"/>
        <v>0</v>
      </c>
      <c r="AF321" s="5">
        <f t="shared" si="132"/>
        <v>0</v>
      </c>
      <c r="AG321" s="5">
        <f t="shared" si="132"/>
        <v>2</v>
      </c>
      <c r="AH321" s="5">
        <f t="shared" si="132"/>
        <v>0</v>
      </c>
      <c r="AI321" s="5">
        <f t="shared" si="132"/>
        <v>0</v>
      </c>
      <c r="AJ321" s="5">
        <f t="shared" si="132"/>
        <v>0</v>
      </c>
      <c r="AK321" s="5">
        <f t="shared" si="132"/>
        <v>0</v>
      </c>
      <c r="AL321" s="5">
        <f t="shared" si="132"/>
        <v>0</v>
      </c>
      <c r="AM321" s="5">
        <f t="shared" si="132"/>
        <v>0</v>
      </c>
      <c r="AN321" s="5">
        <f t="shared" si="132"/>
        <v>0</v>
      </c>
      <c r="AO321" s="5">
        <f t="shared" si="132"/>
        <v>0</v>
      </c>
      <c r="AP321" s="5">
        <f t="shared" si="132"/>
        <v>0</v>
      </c>
      <c r="AQ321" s="5">
        <f t="shared" si="132"/>
        <v>0</v>
      </c>
      <c r="AR321" s="5">
        <f t="shared" si="132"/>
        <v>0</v>
      </c>
      <c r="AS321" s="5">
        <f t="shared" si="132"/>
        <v>3</v>
      </c>
      <c r="AT321" s="5">
        <f t="shared" si="132"/>
        <v>0</v>
      </c>
      <c r="AU321" s="5">
        <f t="shared" si="132"/>
        <v>0</v>
      </c>
      <c r="AV321" s="5">
        <f t="shared" si="132"/>
        <v>0</v>
      </c>
      <c r="AW321" s="5">
        <f t="shared" si="132"/>
        <v>0</v>
      </c>
      <c r="AX321" s="5">
        <f t="shared" si="132"/>
        <v>0</v>
      </c>
      <c r="AY321" s="5">
        <f t="shared" si="132"/>
        <v>0</v>
      </c>
      <c r="AZ321" s="5">
        <f t="shared" si="132"/>
        <v>0</v>
      </c>
      <c r="BA321" s="5">
        <f t="shared" si="132"/>
        <v>0</v>
      </c>
      <c r="BB321" s="5">
        <f t="shared" si="132"/>
        <v>0</v>
      </c>
      <c r="BC321" s="5">
        <f t="shared" si="132"/>
        <v>0</v>
      </c>
      <c r="BD321" s="5">
        <f t="shared" si="132"/>
        <v>0</v>
      </c>
      <c r="BE321" s="5">
        <f t="shared" si="132"/>
        <v>4</v>
      </c>
      <c r="BF321" s="5">
        <f t="shared" si="132"/>
        <v>0</v>
      </c>
      <c r="BG321" s="5">
        <f t="shared" si="132"/>
        <v>0</v>
      </c>
      <c r="BH321" s="5">
        <f t="shared" si="132"/>
        <v>0</v>
      </c>
      <c r="BI321" s="5">
        <f t="shared" si="132"/>
        <v>0</v>
      </c>
      <c r="BJ321" s="5">
        <f t="shared" si="132"/>
        <v>0</v>
      </c>
      <c r="BK321" s="5">
        <f t="shared" si="132"/>
        <v>0</v>
      </c>
      <c r="BL321" s="5">
        <f t="shared" si="132"/>
        <v>0</v>
      </c>
      <c r="BM321" s="5">
        <f t="shared" si="132"/>
        <v>0</v>
      </c>
      <c r="BN321" s="5">
        <f t="shared" si="132"/>
        <v>0</v>
      </c>
      <c r="BO321" s="5">
        <f t="shared" si="132"/>
        <v>0</v>
      </c>
      <c r="BP321" s="5">
        <f t="shared" si="132"/>
        <v>0</v>
      </c>
      <c r="BQ321" s="5">
        <f t="shared" si="132"/>
        <v>5</v>
      </c>
    </row>
    <row r="322" spans="1:69" outlineLevel="1"/>
    <row r="323" spans="1:69" outlineLevel="1"/>
    <row r="324" spans="1:69" outlineLevel="1">
      <c r="B324" s="25" t="s">
        <v>219</v>
      </c>
    </row>
    <row r="325" spans="1:69" outlineLevel="2">
      <c r="A325" s="18"/>
      <c r="B325" s="18"/>
      <c r="C325" s="28"/>
      <c r="D325" s="27"/>
      <c r="E325" s="20" t="str">
        <f xml:space="preserve">  InpC!E$102</f>
        <v>Start date</v>
      </c>
      <c r="F325" s="20">
        <f xml:space="preserve">  InpC!F$102</f>
        <v>45047</v>
      </c>
      <c r="G325" s="20" t="str">
        <f xml:space="preserve">  InpC!G$102</f>
        <v>date</v>
      </c>
      <c r="M325" s="8"/>
    </row>
    <row r="326" spans="1:69" outlineLevel="2">
      <c r="A326" s="18"/>
      <c r="B326" s="18"/>
      <c r="C326" s="28"/>
      <c r="D326" s="27"/>
      <c r="E326" s="4" t="str">
        <f xml:space="preserve">  InpC!E$101</f>
        <v>Financial year end month</v>
      </c>
      <c r="F326" s="4">
        <f xml:space="preserve">  InpC!F$101</f>
        <v>4</v>
      </c>
      <c r="G326" s="4" t="str">
        <f xml:space="preserve">  InpC!G$101</f>
        <v>Months</v>
      </c>
      <c r="M326" s="2"/>
    </row>
    <row r="327" spans="1:69" outlineLevel="2">
      <c r="E327" s="47" t="s">
        <v>219</v>
      </c>
      <c r="F327" s="2">
        <f xml:space="preserve">  EOMONTH( DATE( YEAR( $F325 ) + IF( MONTH( $F325 ) &gt; MONTH( $F326 ), 0, -1 ), $F326, 1 ), 0 )</f>
        <v>45046</v>
      </c>
      <c r="G327" s="47" t="s">
        <v>214</v>
      </c>
      <c r="M327" s="2"/>
    </row>
    <row r="328" spans="1:69" outlineLevel="1"/>
    <row r="329" spans="1:69" outlineLevel="1"/>
    <row r="330" spans="1:69" outlineLevel="1">
      <c r="B330" s="25" t="s">
        <v>149</v>
      </c>
    </row>
    <row r="331" spans="1:69" outlineLevel="2">
      <c r="E331" s="5" t="str">
        <f t="shared" ref="E331:BQ331" si="133" xml:space="preserve">  E$28</f>
        <v>Period number</v>
      </c>
      <c r="F331" s="5">
        <f t="shared" si="133"/>
        <v>0</v>
      </c>
      <c r="G331" s="5" t="str">
        <f t="shared" si="133"/>
        <v>Counter</v>
      </c>
      <c r="H331" s="5">
        <f t="shared" si="133"/>
        <v>0</v>
      </c>
      <c r="I331" s="5">
        <f t="shared" si="133"/>
        <v>0</v>
      </c>
      <c r="J331" s="5">
        <f t="shared" si="133"/>
        <v>1</v>
      </c>
      <c r="K331" s="5">
        <f t="shared" si="133"/>
        <v>2</v>
      </c>
      <c r="L331" s="5">
        <f t="shared" si="133"/>
        <v>3</v>
      </c>
      <c r="M331" s="5">
        <f t="shared" si="133"/>
        <v>4</v>
      </c>
      <c r="N331" s="5">
        <f t="shared" si="133"/>
        <v>5</v>
      </c>
      <c r="O331" s="5">
        <f t="shared" si="133"/>
        <v>6</v>
      </c>
      <c r="P331" s="5">
        <f t="shared" si="133"/>
        <v>7</v>
      </c>
      <c r="Q331" s="5">
        <f t="shared" si="133"/>
        <v>8</v>
      </c>
      <c r="R331" s="5">
        <f t="shared" si="133"/>
        <v>9</v>
      </c>
      <c r="S331" s="5">
        <f t="shared" si="133"/>
        <v>10</v>
      </c>
      <c r="T331" s="5">
        <f t="shared" si="133"/>
        <v>11</v>
      </c>
      <c r="U331" s="5">
        <f t="shared" si="133"/>
        <v>12</v>
      </c>
      <c r="V331" s="5">
        <f t="shared" si="133"/>
        <v>13</v>
      </c>
      <c r="W331" s="5">
        <f t="shared" si="133"/>
        <v>14</v>
      </c>
      <c r="X331" s="5">
        <f t="shared" si="133"/>
        <v>15</v>
      </c>
      <c r="Y331" s="5">
        <f t="shared" si="133"/>
        <v>16</v>
      </c>
      <c r="Z331" s="5">
        <f t="shared" si="133"/>
        <v>17</v>
      </c>
      <c r="AA331" s="5">
        <f t="shared" si="133"/>
        <v>18</v>
      </c>
      <c r="AB331" s="5">
        <f t="shared" si="133"/>
        <v>19</v>
      </c>
      <c r="AC331" s="5">
        <f t="shared" si="133"/>
        <v>20</v>
      </c>
      <c r="AD331" s="5">
        <f t="shared" si="133"/>
        <v>21</v>
      </c>
      <c r="AE331" s="5">
        <f t="shared" si="133"/>
        <v>22</v>
      </c>
      <c r="AF331" s="5">
        <f t="shared" si="133"/>
        <v>23</v>
      </c>
      <c r="AG331" s="5">
        <f t="shared" si="133"/>
        <v>24</v>
      </c>
      <c r="AH331" s="5">
        <f t="shared" si="133"/>
        <v>25</v>
      </c>
      <c r="AI331" s="5">
        <f t="shared" si="133"/>
        <v>26</v>
      </c>
      <c r="AJ331" s="5">
        <f t="shared" si="133"/>
        <v>27</v>
      </c>
      <c r="AK331" s="5">
        <f t="shared" si="133"/>
        <v>28</v>
      </c>
      <c r="AL331" s="5">
        <f t="shared" si="133"/>
        <v>29</v>
      </c>
      <c r="AM331" s="5">
        <f t="shared" si="133"/>
        <v>30</v>
      </c>
      <c r="AN331" s="5">
        <f t="shared" si="133"/>
        <v>31</v>
      </c>
      <c r="AO331" s="5">
        <f t="shared" si="133"/>
        <v>32</v>
      </c>
      <c r="AP331" s="5">
        <f t="shared" si="133"/>
        <v>33</v>
      </c>
      <c r="AQ331" s="5">
        <f t="shared" si="133"/>
        <v>34</v>
      </c>
      <c r="AR331" s="5">
        <f t="shared" si="133"/>
        <v>35</v>
      </c>
      <c r="AS331" s="5">
        <f t="shared" si="133"/>
        <v>36</v>
      </c>
      <c r="AT331" s="5">
        <f t="shared" si="133"/>
        <v>37</v>
      </c>
      <c r="AU331" s="5">
        <f t="shared" si="133"/>
        <v>38</v>
      </c>
      <c r="AV331" s="5">
        <f t="shared" si="133"/>
        <v>39</v>
      </c>
      <c r="AW331" s="5">
        <f t="shared" si="133"/>
        <v>40</v>
      </c>
      <c r="AX331" s="5">
        <f t="shared" si="133"/>
        <v>41</v>
      </c>
      <c r="AY331" s="5">
        <f t="shared" si="133"/>
        <v>42</v>
      </c>
      <c r="AZ331" s="5">
        <f t="shared" si="133"/>
        <v>43</v>
      </c>
      <c r="BA331" s="5">
        <f t="shared" si="133"/>
        <v>44</v>
      </c>
      <c r="BB331" s="5">
        <f t="shared" si="133"/>
        <v>45</v>
      </c>
      <c r="BC331" s="5">
        <f t="shared" si="133"/>
        <v>46</v>
      </c>
      <c r="BD331" s="5">
        <f t="shared" si="133"/>
        <v>47</v>
      </c>
      <c r="BE331" s="5">
        <f t="shared" si="133"/>
        <v>48</v>
      </c>
      <c r="BF331" s="5">
        <f t="shared" si="133"/>
        <v>49</v>
      </c>
      <c r="BG331" s="5">
        <f t="shared" si="133"/>
        <v>50</v>
      </c>
      <c r="BH331" s="5">
        <f t="shared" si="133"/>
        <v>51</v>
      </c>
      <c r="BI331" s="5">
        <f t="shared" si="133"/>
        <v>52</v>
      </c>
      <c r="BJ331" s="5">
        <f t="shared" si="133"/>
        <v>53</v>
      </c>
      <c r="BK331" s="5">
        <f t="shared" si="133"/>
        <v>54</v>
      </c>
      <c r="BL331" s="5">
        <f t="shared" si="133"/>
        <v>55</v>
      </c>
      <c r="BM331" s="5">
        <f t="shared" si="133"/>
        <v>56</v>
      </c>
      <c r="BN331" s="5">
        <f t="shared" si="133"/>
        <v>57</v>
      </c>
      <c r="BO331" s="5">
        <f t="shared" si="133"/>
        <v>58</v>
      </c>
      <c r="BP331" s="5">
        <f t="shared" si="133"/>
        <v>59</v>
      </c>
      <c r="BQ331" s="5">
        <f t="shared" si="133"/>
        <v>60</v>
      </c>
    </row>
    <row r="332" spans="1:69" outlineLevel="2">
      <c r="E332" s="47" t="s">
        <v>149</v>
      </c>
      <c r="G332" s="47" t="s">
        <v>91</v>
      </c>
      <c r="J332" s="5">
        <f t="shared" ref="J332:BQ332" si="134" xml:space="preserve">  IF( J331 = 1, 1, I332 + IF( MOD( J331, 3 ) = 1, 1, 0 ) )</f>
        <v>1</v>
      </c>
      <c r="K332" s="5">
        <f t="shared" si="134"/>
        <v>1</v>
      </c>
      <c r="L332" s="5">
        <f t="shared" si="134"/>
        <v>1</v>
      </c>
      <c r="M332" s="5">
        <f t="shared" si="134"/>
        <v>2</v>
      </c>
      <c r="N332" s="5">
        <f t="shared" si="134"/>
        <v>2</v>
      </c>
      <c r="O332" s="5">
        <f t="shared" si="134"/>
        <v>2</v>
      </c>
      <c r="P332" s="5">
        <f t="shared" si="134"/>
        <v>3</v>
      </c>
      <c r="Q332" s="5">
        <f t="shared" si="134"/>
        <v>3</v>
      </c>
      <c r="R332" s="5">
        <f t="shared" si="134"/>
        <v>3</v>
      </c>
      <c r="S332" s="5">
        <f t="shared" si="134"/>
        <v>4</v>
      </c>
      <c r="T332" s="5">
        <f t="shared" si="134"/>
        <v>4</v>
      </c>
      <c r="U332" s="5">
        <f t="shared" si="134"/>
        <v>4</v>
      </c>
      <c r="V332" s="5">
        <f t="shared" si="134"/>
        <v>5</v>
      </c>
      <c r="W332" s="5">
        <f t="shared" si="134"/>
        <v>5</v>
      </c>
      <c r="X332" s="5">
        <f t="shared" si="134"/>
        <v>5</v>
      </c>
      <c r="Y332" s="5">
        <f t="shared" si="134"/>
        <v>6</v>
      </c>
      <c r="Z332" s="5">
        <f t="shared" si="134"/>
        <v>6</v>
      </c>
      <c r="AA332" s="5">
        <f t="shared" si="134"/>
        <v>6</v>
      </c>
      <c r="AB332" s="5">
        <f t="shared" si="134"/>
        <v>7</v>
      </c>
      <c r="AC332" s="5">
        <f t="shared" si="134"/>
        <v>7</v>
      </c>
      <c r="AD332" s="5">
        <f t="shared" si="134"/>
        <v>7</v>
      </c>
      <c r="AE332" s="5">
        <f t="shared" si="134"/>
        <v>8</v>
      </c>
      <c r="AF332" s="5">
        <f t="shared" si="134"/>
        <v>8</v>
      </c>
      <c r="AG332" s="5">
        <f t="shared" si="134"/>
        <v>8</v>
      </c>
      <c r="AH332" s="5">
        <f t="shared" si="134"/>
        <v>9</v>
      </c>
      <c r="AI332" s="5">
        <f t="shared" si="134"/>
        <v>9</v>
      </c>
      <c r="AJ332" s="5">
        <f t="shared" si="134"/>
        <v>9</v>
      </c>
      <c r="AK332" s="5">
        <f t="shared" si="134"/>
        <v>10</v>
      </c>
      <c r="AL332" s="5">
        <f t="shared" si="134"/>
        <v>10</v>
      </c>
      <c r="AM332" s="5">
        <f t="shared" si="134"/>
        <v>10</v>
      </c>
      <c r="AN332" s="5">
        <f t="shared" si="134"/>
        <v>11</v>
      </c>
      <c r="AO332" s="5">
        <f t="shared" si="134"/>
        <v>11</v>
      </c>
      <c r="AP332" s="5">
        <f t="shared" si="134"/>
        <v>11</v>
      </c>
      <c r="AQ332" s="5">
        <f t="shared" si="134"/>
        <v>12</v>
      </c>
      <c r="AR332" s="5">
        <f t="shared" si="134"/>
        <v>12</v>
      </c>
      <c r="AS332" s="5">
        <f t="shared" si="134"/>
        <v>12</v>
      </c>
      <c r="AT332" s="5">
        <f t="shared" si="134"/>
        <v>13</v>
      </c>
      <c r="AU332" s="5">
        <f t="shared" si="134"/>
        <v>13</v>
      </c>
      <c r="AV332" s="5">
        <f t="shared" si="134"/>
        <v>13</v>
      </c>
      <c r="AW332" s="5">
        <f t="shared" si="134"/>
        <v>14</v>
      </c>
      <c r="AX332" s="5">
        <f t="shared" si="134"/>
        <v>14</v>
      </c>
      <c r="AY332" s="5">
        <f t="shared" si="134"/>
        <v>14</v>
      </c>
      <c r="AZ332" s="5">
        <f t="shared" si="134"/>
        <v>15</v>
      </c>
      <c r="BA332" s="5">
        <f t="shared" si="134"/>
        <v>15</v>
      </c>
      <c r="BB332" s="5">
        <f t="shared" si="134"/>
        <v>15</v>
      </c>
      <c r="BC332" s="5">
        <f t="shared" si="134"/>
        <v>16</v>
      </c>
      <c r="BD332" s="5">
        <f t="shared" si="134"/>
        <v>16</v>
      </c>
      <c r="BE332" s="5">
        <f t="shared" si="134"/>
        <v>16</v>
      </c>
      <c r="BF332" s="5">
        <f t="shared" si="134"/>
        <v>17</v>
      </c>
      <c r="BG332" s="5">
        <f t="shared" si="134"/>
        <v>17</v>
      </c>
      <c r="BH332" s="5">
        <f t="shared" si="134"/>
        <v>17</v>
      </c>
      <c r="BI332" s="5">
        <f t="shared" si="134"/>
        <v>18</v>
      </c>
      <c r="BJ332" s="5">
        <f t="shared" si="134"/>
        <v>18</v>
      </c>
      <c r="BK332" s="5">
        <f t="shared" si="134"/>
        <v>18</v>
      </c>
      <c r="BL332" s="5">
        <f t="shared" si="134"/>
        <v>19</v>
      </c>
      <c r="BM332" s="5">
        <f t="shared" si="134"/>
        <v>19</v>
      </c>
      <c r="BN332" s="5">
        <f t="shared" si="134"/>
        <v>19</v>
      </c>
      <c r="BO332" s="5">
        <f t="shared" si="134"/>
        <v>20</v>
      </c>
      <c r="BP332" s="5">
        <f t="shared" si="134"/>
        <v>20</v>
      </c>
      <c r="BQ332" s="5">
        <f t="shared" si="134"/>
        <v>20</v>
      </c>
    </row>
    <row r="333" spans="1:69" outlineLevel="1"/>
    <row r="334" spans="1:69" outlineLevel="1"/>
    <row r="335" spans="1:69" outlineLevel="1">
      <c r="B335" s="25" t="s">
        <v>34</v>
      </c>
    </row>
    <row r="336" spans="1:69" outlineLevel="2">
      <c r="E336" s="5" t="str">
        <f t="shared" ref="E336:BQ336" si="135" xml:space="preserve">  E$28</f>
        <v>Period number</v>
      </c>
      <c r="F336" s="5">
        <f t="shared" si="135"/>
        <v>0</v>
      </c>
      <c r="G336" s="5" t="str">
        <f t="shared" si="135"/>
        <v>Counter</v>
      </c>
      <c r="H336" s="5">
        <f t="shared" si="135"/>
        <v>0</v>
      </c>
      <c r="I336" s="5">
        <f t="shared" si="135"/>
        <v>0</v>
      </c>
      <c r="J336" s="5">
        <f t="shared" si="135"/>
        <v>1</v>
      </c>
      <c r="K336" s="5">
        <f t="shared" si="135"/>
        <v>2</v>
      </c>
      <c r="L336" s="5">
        <f t="shared" si="135"/>
        <v>3</v>
      </c>
      <c r="M336" s="5">
        <f t="shared" si="135"/>
        <v>4</v>
      </c>
      <c r="N336" s="5">
        <f t="shared" si="135"/>
        <v>5</v>
      </c>
      <c r="O336" s="5">
        <f t="shared" si="135"/>
        <v>6</v>
      </c>
      <c r="P336" s="5">
        <f t="shared" si="135"/>
        <v>7</v>
      </c>
      <c r="Q336" s="5">
        <f t="shared" si="135"/>
        <v>8</v>
      </c>
      <c r="R336" s="5">
        <f t="shared" si="135"/>
        <v>9</v>
      </c>
      <c r="S336" s="5">
        <f t="shared" si="135"/>
        <v>10</v>
      </c>
      <c r="T336" s="5">
        <f t="shared" si="135"/>
        <v>11</v>
      </c>
      <c r="U336" s="5">
        <f t="shared" si="135"/>
        <v>12</v>
      </c>
      <c r="V336" s="5">
        <f t="shared" si="135"/>
        <v>13</v>
      </c>
      <c r="W336" s="5">
        <f t="shared" si="135"/>
        <v>14</v>
      </c>
      <c r="X336" s="5">
        <f t="shared" si="135"/>
        <v>15</v>
      </c>
      <c r="Y336" s="5">
        <f t="shared" si="135"/>
        <v>16</v>
      </c>
      <c r="Z336" s="5">
        <f t="shared" si="135"/>
        <v>17</v>
      </c>
      <c r="AA336" s="5">
        <f t="shared" si="135"/>
        <v>18</v>
      </c>
      <c r="AB336" s="5">
        <f t="shared" si="135"/>
        <v>19</v>
      </c>
      <c r="AC336" s="5">
        <f t="shared" si="135"/>
        <v>20</v>
      </c>
      <c r="AD336" s="5">
        <f t="shared" si="135"/>
        <v>21</v>
      </c>
      <c r="AE336" s="5">
        <f t="shared" si="135"/>
        <v>22</v>
      </c>
      <c r="AF336" s="5">
        <f t="shared" si="135"/>
        <v>23</v>
      </c>
      <c r="AG336" s="5">
        <f t="shared" si="135"/>
        <v>24</v>
      </c>
      <c r="AH336" s="5">
        <f t="shared" si="135"/>
        <v>25</v>
      </c>
      <c r="AI336" s="5">
        <f t="shared" si="135"/>
        <v>26</v>
      </c>
      <c r="AJ336" s="5">
        <f t="shared" si="135"/>
        <v>27</v>
      </c>
      <c r="AK336" s="5">
        <f t="shared" si="135"/>
        <v>28</v>
      </c>
      <c r="AL336" s="5">
        <f t="shared" si="135"/>
        <v>29</v>
      </c>
      <c r="AM336" s="5">
        <f t="shared" si="135"/>
        <v>30</v>
      </c>
      <c r="AN336" s="5">
        <f t="shared" si="135"/>
        <v>31</v>
      </c>
      <c r="AO336" s="5">
        <f t="shared" si="135"/>
        <v>32</v>
      </c>
      <c r="AP336" s="5">
        <f t="shared" si="135"/>
        <v>33</v>
      </c>
      <c r="AQ336" s="5">
        <f t="shared" si="135"/>
        <v>34</v>
      </c>
      <c r="AR336" s="5">
        <f t="shared" si="135"/>
        <v>35</v>
      </c>
      <c r="AS336" s="5">
        <f t="shared" si="135"/>
        <v>36</v>
      </c>
      <c r="AT336" s="5">
        <f t="shared" si="135"/>
        <v>37</v>
      </c>
      <c r="AU336" s="5">
        <f t="shared" si="135"/>
        <v>38</v>
      </c>
      <c r="AV336" s="5">
        <f t="shared" si="135"/>
        <v>39</v>
      </c>
      <c r="AW336" s="5">
        <f t="shared" si="135"/>
        <v>40</v>
      </c>
      <c r="AX336" s="5">
        <f t="shared" si="135"/>
        <v>41</v>
      </c>
      <c r="AY336" s="5">
        <f t="shared" si="135"/>
        <v>42</v>
      </c>
      <c r="AZ336" s="5">
        <f t="shared" si="135"/>
        <v>43</v>
      </c>
      <c r="BA336" s="5">
        <f t="shared" si="135"/>
        <v>44</v>
      </c>
      <c r="BB336" s="5">
        <f t="shared" si="135"/>
        <v>45</v>
      </c>
      <c r="BC336" s="5">
        <f t="shared" si="135"/>
        <v>46</v>
      </c>
      <c r="BD336" s="5">
        <f t="shared" si="135"/>
        <v>47</v>
      </c>
      <c r="BE336" s="5">
        <f t="shared" si="135"/>
        <v>48</v>
      </c>
      <c r="BF336" s="5">
        <f t="shared" si="135"/>
        <v>49</v>
      </c>
      <c r="BG336" s="5">
        <f t="shared" si="135"/>
        <v>50</v>
      </c>
      <c r="BH336" s="5">
        <f t="shared" si="135"/>
        <v>51</v>
      </c>
      <c r="BI336" s="5">
        <f t="shared" si="135"/>
        <v>52</v>
      </c>
      <c r="BJ336" s="5">
        <f t="shared" si="135"/>
        <v>53</v>
      </c>
      <c r="BK336" s="5">
        <f t="shared" si="135"/>
        <v>54</v>
      </c>
      <c r="BL336" s="5">
        <f t="shared" si="135"/>
        <v>55</v>
      </c>
      <c r="BM336" s="5">
        <f t="shared" si="135"/>
        <v>56</v>
      </c>
      <c r="BN336" s="5">
        <f t="shared" si="135"/>
        <v>57</v>
      </c>
      <c r="BO336" s="5">
        <f t="shared" si="135"/>
        <v>58</v>
      </c>
      <c r="BP336" s="5">
        <f t="shared" si="135"/>
        <v>59</v>
      </c>
      <c r="BQ336" s="5">
        <f t="shared" si="135"/>
        <v>60</v>
      </c>
    </row>
    <row r="337" spans="1:69" outlineLevel="2">
      <c r="E337" s="47" t="s">
        <v>34</v>
      </c>
      <c r="G337" s="47" t="s">
        <v>91</v>
      </c>
      <c r="I337" s="5">
        <f t="shared" ref="I337:BQ337" si="136" xml:space="preserve">  IF( MOD( I336, 3 ) = 0, ( I336 / 3 ), 0 )</f>
        <v>0</v>
      </c>
      <c r="J337" s="5">
        <f t="shared" si="136"/>
        <v>0</v>
      </c>
      <c r="K337" s="5">
        <f t="shared" si="136"/>
        <v>0</v>
      </c>
      <c r="L337" s="5">
        <f t="shared" si="136"/>
        <v>1</v>
      </c>
      <c r="M337" s="5">
        <f t="shared" si="136"/>
        <v>0</v>
      </c>
      <c r="N337" s="5">
        <f t="shared" si="136"/>
        <v>0</v>
      </c>
      <c r="O337" s="5">
        <f t="shared" si="136"/>
        <v>2</v>
      </c>
      <c r="P337" s="5">
        <f t="shared" si="136"/>
        <v>0</v>
      </c>
      <c r="Q337" s="5">
        <f t="shared" si="136"/>
        <v>0</v>
      </c>
      <c r="R337" s="5">
        <f t="shared" si="136"/>
        <v>3</v>
      </c>
      <c r="S337" s="5">
        <f t="shared" si="136"/>
        <v>0</v>
      </c>
      <c r="T337" s="5">
        <f t="shared" si="136"/>
        <v>0</v>
      </c>
      <c r="U337" s="5">
        <f t="shared" si="136"/>
        <v>4</v>
      </c>
      <c r="V337" s="5">
        <f t="shared" si="136"/>
        <v>0</v>
      </c>
      <c r="W337" s="5">
        <f t="shared" si="136"/>
        <v>0</v>
      </c>
      <c r="X337" s="5">
        <f t="shared" si="136"/>
        <v>5</v>
      </c>
      <c r="Y337" s="5">
        <f t="shared" si="136"/>
        <v>0</v>
      </c>
      <c r="Z337" s="5">
        <f t="shared" si="136"/>
        <v>0</v>
      </c>
      <c r="AA337" s="5">
        <f t="shared" si="136"/>
        <v>6</v>
      </c>
      <c r="AB337" s="5">
        <f t="shared" si="136"/>
        <v>0</v>
      </c>
      <c r="AC337" s="5">
        <f t="shared" si="136"/>
        <v>0</v>
      </c>
      <c r="AD337" s="5">
        <f t="shared" si="136"/>
        <v>7</v>
      </c>
      <c r="AE337" s="5">
        <f t="shared" si="136"/>
        <v>0</v>
      </c>
      <c r="AF337" s="5">
        <f t="shared" si="136"/>
        <v>0</v>
      </c>
      <c r="AG337" s="5">
        <f t="shared" si="136"/>
        <v>8</v>
      </c>
      <c r="AH337" s="5">
        <f t="shared" si="136"/>
        <v>0</v>
      </c>
      <c r="AI337" s="5">
        <f t="shared" si="136"/>
        <v>0</v>
      </c>
      <c r="AJ337" s="5">
        <f t="shared" si="136"/>
        <v>9</v>
      </c>
      <c r="AK337" s="5">
        <f t="shared" si="136"/>
        <v>0</v>
      </c>
      <c r="AL337" s="5">
        <f t="shared" si="136"/>
        <v>0</v>
      </c>
      <c r="AM337" s="5">
        <f t="shared" si="136"/>
        <v>10</v>
      </c>
      <c r="AN337" s="5">
        <f t="shared" si="136"/>
        <v>0</v>
      </c>
      <c r="AO337" s="5">
        <f t="shared" si="136"/>
        <v>0</v>
      </c>
      <c r="AP337" s="5">
        <f t="shared" si="136"/>
        <v>11</v>
      </c>
      <c r="AQ337" s="5">
        <f t="shared" si="136"/>
        <v>0</v>
      </c>
      <c r="AR337" s="5">
        <f t="shared" si="136"/>
        <v>0</v>
      </c>
      <c r="AS337" s="5">
        <f t="shared" si="136"/>
        <v>12</v>
      </c>
      <c r="AT337" s="5">
        <f t="shared" si="136"/>
        <v>0</v>
      </c>
      <c r="AU337" s="5">
        <f t="shared" si="136"/>
        <v>0</v>
      </c>
      <c r="AV337" s="5">
        <f t="shared" si="136"/>
        <v>13</v>
      </c>
      <c r="AW337" s="5">
        <f t="shared" si="136"/>
        <v>0</v>
      </c>
      <c r="AX337" s="5">
        <f t="shared" si="136"/>
        <v>0</v>
      </c>
      <c r="AY337" s="5">
        <f t="shared" si="136"/>
        <v>14</v>
      </c>
      <c r="AZ337" s="5">
        <f t="shared" si="136"/>
        <v>0</v>
      </c>
      <c r="BA337" s="5">
        <f t="shared" si="136"/>
        <v>0</v>
      </c>
      <c r="BB337" s="5">
        <f t="shared" si="136"/>
        <v>15</v>
      </c>
      <c r="BC337" s="5">
        <f t="shared" si="136"/>
        <v>0</v>
      </c>
      <c r="BD337" s="5">
        <f t="shared" si="136"/>
        <v>0</v>
      </c>
      <c r="BE337" s="5">
        <f t="shared" si="136"/>
        <v>16</v>
      </c>
      <c r="BF337" s="5">
        <f t="shared" si="136"/>
        <v>0</v>
      </c>
      <c r="BG337" s="5">
        <f t="shared" si="136"/>
        <v>0</v>
      </c>
      <c r="BH337" s="5">
        <f t="shared" si="136"/>
        <v>17</v>
      </c>
      <c r="BI337" s="5">
        <f t="shared" si="136"/>
        <v>0</v>
      </c>
      <c r="BJ337" s="5">
        <f t="shared" si="136"/>
        <v>0</v>
      </c>
      <c r="BK337" s="5">
        <f t="shared" si="136"/>
        <v>18</v>
      </c>
      <c r="BL337" s="5">
        <f t="shared" si="136"/>
        <v>0</v>
      </c>
      <c r="BM337" s="5">
        <f t="shared" si="136"/>
        <v>0</v>
      </c>
      <c r="BN337" s="5">
        <f t="shared" si="136"/>
        <v>19</v>
      </c>
      <c r="BO337" s="5">
        <f t="shared" si="136"/>
        <v>0</v>
      </c>
      <c r="BP337" s="5">
        <f t="shared" si="136"/>
        <v>0</v>
      </c>
      <c r="BQ337" s="5">
        <f t="shared" si="136"/>
        <v>20</v>
      </c>
    </row>
    <row r="338" spans="1:69" outlineLevel="1"/>
    <row r="339" spans="1:69" outlineLevel="1"/>
    <row r="340" spans="1:69" outlineLevel="1">
      <c r="B340" s="25" t="s">
        <v>79</v>
      </c>
    </row>
    <row r="341" spans="1:69" outlineLevel="2">
      <c r="A341" s="18"/>
      <c r="B341" s="18"/>
      <c r="C341" s="28"/>
      <c r="D341" s="27"/>
      <c r="E341" s="20" t="str">
        <f xml:space="preserve">  InpC!E$102</f>
        <v>Start date</v>
      </c>
      <c r="F341" s="20">
        <f xml:space="preserve">  InpC!F$102</f>
        <v>45047</v>
      </c>
      <c r="G341" s="20" t="str">
        <f xml:space="preserve">  InpC!G$102</f>
        <v>date</v>
      </c>
      <c r="M341" s="8"/>
    </row>
    <row r="342" spans="1:69" outlineLevel="2">
      <c r="E342" s="47" t="s">
        <v>79</v>
      </c>
      <c r="F342" s="2">
        <f xml:space="preserve">  $F341 - 1</f>
        <v>45046</v>
      </c>
      <c r="G342" s="47" t="s">
        <v>214</v>
      </c>
      <c r="M342" s="2"/>
    </row>
    <row r="343" spans="1:69" outlineLevel="1"/>
    <row r="344" spans="1:69" outlineLevel="1"/>
    <row r="345" spans="1:69" outlineLevel="1">
      <c r="B345" s="25" t="s">
        <v>320</v>
      </c>
    </row>
    <row r="346" spans="1:69" outlineLevel="2">
      <c r="E346" s="5" t="str">
        <f t="shared" ref="E346:BQ346" si="137" xml:space="preserve">  E$28</f>
        <v>Period number</v>
      </c>
      <c r="F346" s="5">
        <f t="shared" si="137"/>
        <v>0</v>
      </c>
      <c r="G346" s="5" t="str">
        <f t="shared" si="137"/>
        <v>Counter</v>
      </c>
      <c r="H346" s="5">
        <f t="shared" si="137"/>
        <v>0</v>
      </c>
      <c r="I346" s="5">
        <f t="shared" si="137"/>
        <v>0</v>
      </c>
      <c r="J346" s="5">
        <f t="shared" si="137"/>
        <v>1</v>
      </c>
      <c r="K346" s="5">
        <f t="shared" si="137"/>
        <v>2</v>
      </c>
      <c r="L346" s="5">
        <f t="shared" si="137"/>
        <v>3</v>
      </c>
      <c r="M346" s="5">
        <f t="shared" si="137"/>
        <v>4</v>
      </c>
      <c r="N346" s="5">
        <f t="shared" si="137"/>
        <v>5</v>
      </c>
      <c r="O346" s="5">
        <f t="shared" si="137"/>
        <v>6</v>
      </c>
      <c r="P346" s="5">
        <f t="shared" si="137"/>
        <v>7</v>
      </c>
      <c r="Q346" s="5">
        <f t="shared" si="137"/>
        <v>8</v>
      </c>
      <c r="R346" s="5">
        <f t="shared" si="137"/>
        <v>9</v>
      </c>
      <c r="S346" s="5">
        <f t="shared" si="137"/>
        <v>10</v>
      </c>
      <c r="T346" s="5">
        <f t="shared" si="137"/>
        <v>11</v>
      </c>
      <c r="U346" s="5">
        <f t="shared" si="137"/>
        <v>12</v>
      </c>
      <c r="V346" s="5">
        <f t="shared" si="137"/>
        <v>13</v>
      </c>
      <c r="W346" s="5">
        <f t="shared" si="137"/>
        <v>14</v>
      </c>
      <c r="X346" s="5">
        <f t="shared" si="137"/>
        <v>15</v>
      </c>
      <c r="Y346" s="5">
        <f t="shared" si="137"/>
        <v>16</v>
      </c>
      <c r="Z346" s="5">
        <f t="shared" si="137"/>
        <v>17</v>
      </c>
      <c r="AA346" s="5">
        <f t="shared" si="137"/>
        <v>18</v>
      </c>
      <c r="AB346" s="5">
        <f t="shared" si="137"/>
        <v>19</v>
      </c>
      <c r="AC346" s="5">
        <f t="shared" si="137"/>
        <v>20</v>
      </c>
      <c r="AD346" s="5">
        <f t="shared" si="137"/>
        <v>21</v>
      </c>
      <c r="AE346" s="5">
        <f t="shared" si="137"/>
        <v>22</v>
      </c>
      <c r="AF346" s="5">
        <f t="shared" si="137"/>
        <v>23</v>
      </c>
      <c r="AG346" s="5">
        <f t="shared" si="137"/>
        <v>24</v>
      </c>
      <c r="AH346" s="5">
        <f t="shared" si="137"/>
        <v>25</v>
      </c>
      <c r="AI346" s="5">
        <f t="shared" si="137"/>
        <v>26</v>
      </c>
      <c r="AJ346" s="5">
        <f t="shared" si="137"/>
        <v>27</v>
      </c>
      <c r="AK346" s="5">
        <f t="shared" si="137"/>
        <v>28</v>
      </c>
      <c r="AL346" s="5">
        <f t="shared" si="137"/>
        <v>29</v>
      </c>
      <c r="AM346" s="5">
        <f t="shared" si="137"/>
        <v>30</v>
      </c>
      <c r="AN346" s="5">
        <f t="shared" si="137"/>
        <v>31</v>
      </c>
      <c r="AO346" s="5">
        <f t="shared" si="137"/>
        <v>32</v>
      </c>
      <c r="AP346" s="5">
        <f t="shared" si="137"/>
        <v>33</v>
      </c>
      <c r="AQ346" s="5">
        <f t="shared" si="137"/>
        <v>34</v>
      </c>
      <c r="AR346" s="5">
        <f t="shared" si="137"/>
        <v>35</v>
      </c>
      <c r="AS346" s="5">
        <f t="shared" si="137"/>
        <v>36</v>
      </c>
      <c r="AT346" s="5">
        <f t="shared" si="137"/>
        <v>37</v>
      </c>
      <c r="AU346" s="5">
        <f t="shared" si="137"/>
        <v>38</v>
      </c>
      <c r="AV346" s="5">
        <f t="shared" si="137"/>
        <v>39</v>
      </c>
      <c r="AW346" s="5">
        <f t="shared" si="137"/>
        <v>40</v>
      </c>
      <c r="AX346" s="5">
        <f t="shared" si="137"/>
        <v>41</v>
      </c>
      <c r="AY346" s="5">
        <f t="shared" si="137"/>
        <v>42</v>
      </c>
      <c r="AZ346" s="5">
        <f t="shared" si="137"/>
        <v>43</v>
      </c>
      <c r="BA346" s="5">
        <f t="shared" si="137"/>
        <v>44</v>
      </c>
      <c r="BB346" s="5">
        <f t="shared" si="137"/>
        <v>45</v>
      </c>
      <c r="BC346" s="5">
        <f t="shared" si="137"/>
        <v>46</v>
      </c>
      <c r="BD346" s="5">
        <f t="shared" si="137"/>
        <v>47</v>
      </c>
      <c r="BE346" s="5">
        <f t="shared" si="137"/>
        <v>48</v>
      </c>
      <c r="BF346" s="5">
        <f t="shared" si="137"/>
        <v>49</v>
      </c>
      <c r="BG346" s="5">
        <f t="shared" si="137"/>
        <v>50</v>
      </c>
      <c r="BH346" s="5">
        <f t="shared" si="137"/>
        <v>51</v>
      </c>
      <c r="BI346" s="5">
        <f t="shared" si="137"/>
        <v>52</v>
      </c>
      <c r="BJ346" s="5">
        <f t="shared" si="137"/>
        <v>53</v>
      </c>
      <c r="BK346" s="5">
        <f t="shared" si="137"/>
        <v>54</v>
      </c>
      <c r="BL346" s="5">
        <f t="shared" si="137"/>
        <v>55</v>
      </c>
      <c r="BM346" s="5">
        <f t="shared" si="137"/>
        <v>56</v>
      </c>
      <c r="BN346" s="5">
        <f t="shared" si="137"/>
        <v>57</v>
      </c>
      <c r="BO346" s="5">
        <f t="shared" si="137"/>
        <v>58</v>
      </c>
      <c r="BP346" s="5">
        <f t="shared" si="137"/>
        <v>59</v>
      </c>
      <c r="BQ346" s="5">
        <f t="shared" si="137"/>
        <v>60</v>
      </c>
    </row>
    <row r="347" spans="1:69" outlineLevel="2">
      <c r="E347" s="47" t="s">
        <v>320</v>
      </c>
      <c r="G347" s="47" t="s">
        <v>91</v>
      </c>
      <c r="J347" s="5">
        <f t="shared" ref="J347:BQ347" si="138" xml:space="preserve">  IF( J346 = 1, 1, I347 + IF( MOD( J346, 6 ) = 1, 1, 0 ) )</f>
        <v>1</v>
      </c>
      <c r="K347" s="5">
        <f t="shared" si="138"/>
        <v>1</v>
      </c>
      <c r="L347" s="5">
        <f t="shared" si="138"/>
        <v>1</v>
      </c>
      <c r="M347" s="5">
        <f t="shared" si="138"/>
        <v>1</v>
      </c>
      <c r="N347" s="5">
        <f t="shared" si="138"/>
        <v>1</v>
      </c>
      <c r="O347" s="5">
        <f t="shared" si="138"/>
        <v>1</v>
      </c>
      <c r="P347" s="5">
        <f t="shared" si="138"/>
        <v>2</v>
      </c>
      <c r="Q347" s="5">
        <f t="shared" si="138"/>
        <v>2</v>
      </c>
      <c r="R347" s="5">
        <f t="shared" si="138"/>
        <v>2</v>
      </c>
      <c r="S347" s="5">
        <f t="shared" si="138"/>
        <v>2</v>
      </c>
      <c r="T347" s="5">
        <f t="shared" si="138"/>
        <v>2</v>
      </c>
      <c r="U347" s="5">
        <f t="shared" si="138"/>
        <v>2</v>
      </c>
      <c r="V347" s="5">
        <f t="shared" si="138"/>
        <v>3</v>
      </c>
      <c r="W347" s="5">
        <f t="shared" si="138"/>
        <v>3</v>
      </c>
      <c r="X347" s="5">
        <f t="shared" si="138"/>
        <v>3</v>
      </c>
      <c r="Y347" s="5">
        <f t="shared" si="138"/>
        <v>3</v>
      </c>
      <c r="Z347" s="5">
        <f t="shared" si="138"/>
        <v>3</v>
      </c>
      <c r="AA347" s="5">
        <f t="shared" si="138"/>
        <v>3</v>
      </c>
      <c r="AB347" s="5">
        <f t="shared" si="138"/>
        <v>4</v>
      </c>
      <c r="AC347" s="5">
        <f t="shared" si="138"/>
        <v>4</v>
      </c>
      <c r="AD347" s="5">
        <f t="shared" si="138"/>
        <v>4</v>
      </c>
      <c r="AE347" s="5">
        <f t="shared" si="138"/>
        <v>4</v>
      </c>
      <c r="AF347" s="5">
        <f t="shared" si="138"/>
        <v>4</v>
      </c>
      <c r="AG347" s="5">
        <f t="shared" si="138"/>
        <v>4</v>
      </c>
      <c r="AH347" s="5">
        <f t="shared" si="138"/>
        <v>5</v>
      </c>
      <c r="AI347" s="5">
        <f t="shared" si="138"/>
        <v>5</v>
      </c>
      <c r="AJ347" s="5">
        <f t="shared" si="138"/>
        <v>5</v>
      </c>
      <c r="AK347" s="5">
        <f t="shared" si="138"/>
        <v>5</v>
      </c>
      <c r="AL347" s="5">
        <f t="shared" si="138"/>
        <v>5</v>
      </c>
      <c r="AM347" s="5">
        <f t="shared" si="138"/>
        <v>5</v>
      </c>
      <c r="AN347" s="5">
        <f t="shared" si="138"/>
        <v>6</v>
      </c>
      <c r="AO347" s="5">
        <f t="shared" si="138"/>
        <v>6</v>
      </c>
      <c r="AP347" s="5">
        <f t="shared" si="138"/>
        <v>6</v>
      </c>
      <c r="AQ347" s="5">
        <f t="shared" si="138"/>
        <v>6</v>
      </c>
      <c r="AR347" s="5">
        <f t="shared" si="138"/>
        <v>6</v>
      </c>
      <c r="AS347" s="5">
        <f t="shared" si="138"/>
        <v>6</v>
      </c>
      <c r="AT347" s="5">
        <f t="shared" si="138"/>
        <v>7</v>
      </c>
      <c r="AU347" s="5">
        <f t="shared" si="138"/>
        <v>7</v>
      </c>
      <c r="AV347" s="5">
        <f t="shared" si="138"/>
        <v>7</v>
      </c>
      <c r="AW347" s="5">
        <f t="shared" si="138"/>
        <v>7</v>
      </c>
      <c r="AX347" s="5">
        <f t="shared" si="138"/>
        <v>7</v>
      </c>
      <c r="AY347" s="5">
        <f t="shared" si="138"/>
        <v>7</v>
      </c>
      <c r="AZ347" s="5">
        <f t="shared" si="138"/>
        <v>8</v>
      </c>
      <c r="BA347" s="5">
        <f t="shared" si="138"/>
        <v>8</v>
      </c>
      <c r="BB347" s="5">
        <f t="shared" si="138"/>
        <v>8</v>
      </c>
      <c r="BC347" s="5">
        <f t="shared" si="138"/>
        <v>8</v>
      </c>
      <c r="BD347" s="5">
        <f t="shared" si="138"/>
        <v>8</v>
      </c>
      <c r="BE347" s="5">
        <f t="shared" si="138"/>
        <v>8</v>
      </c>
      <c r="BF347" s="5">
        <f t="shared" si="138"/>
        <v>9</v>
      </c>
      <c r="BG347" s="5">
        <f t="shared" si="138"/>
        <v>9</v>
      </c>
      <c r="BH347" s="5">
        <f t="shared" si="138"/>
        <v>9</v>
      </c>
      <c r="BI347" s="5">
        <f t="shared" si="138"/>
        <v>9</v>
      </c>
      <c r="BJ347" s="5">
        <f t="shared" si="138"/>
        <v>9</v>
      </c>
      <c r="BK347" s="5">
        <f t="shared" si="138"/>
        <v>9</v>
      </c>
      <c r="BL347" s="5">
        <f t="shared" si="138"/>
        <v>10</v>
      </c>
      <c r="BM347" s="5">
        <f t="shared" si="138"/>
        <v>10</v>
      </c>
      <c r="BN347" s="5">
        <f t="shared" si="138"/>
        <v>10</v>
      </c>
      <c r="BO347" s="5">
        <f t="shared" si="138"/>
        <v>10</v>
      </c>
      <c r="BP347" s="5">
        <f t="shared" si="138"/>
        <v>10</v>
      </c>
      <c r="BQ347" s="5">
        <f t="shared" si="138"/>
        <v>10</v>
      </c>
    </row>
    <row r="348" spans="1:69" outlineLevel="1"/>
    <row r="349" spans="1:69" outlineLevel="1"/>
    <row r="350" spans="1:69" outlineLevel="1">
      <c r="B350" s="25" t="s">
        <v>261</v>
      </c>
    </row>
    <row r="351" spans="1:69" outlineLevel="2">
      <c r="E351" s="5" t="str">
        <f t="shared" ref="E351:BQ351" si="139" xml:space="preserve">  E$28</f>
        <v>Period number</v>
      </c>
      <c r="F351" s="5">
        <f t="shared" si="139"/>
        <v>0</v>
      </c>
      <c r="G351" s="5" t="str">
        <f t="shared" si="139"/>
        <v>Counter</v>
      </c>
      <c r="H351" s="5">
        <f t="shared" si="139"/>
        <v>0</v>
      </c>
      <c r="I351" s="5">
        <f t="shared" si="139"/>
        <v>0</v>
      </c>
      <c r="J351" s="5">
        <f t="shared" si="139"/>
        <v>1</v>
      </c>
      <c r="K351" s="5">
        <f t="shared" si="139"/>
        <v>2</v>
      </c>
      <c r="L351" s="5">
        <f t="shared" si="139"/>
        <v>3</v>
      </c>
      <c r="M351" s="5">
        <f t="shared" si="139"/>
        <v>4</v>
      </c>
      <c r="N351" s="5">
        <f t="shared" si="139"/>
        <v>5</v>
      </c>
      <c r="O351" s="5">
        <f t="shared" si="139"/>
        <v>6</v>
      </c>
      <c r="P351" s="5">
        <f t="shared" si="139"/>
        <v>7</v>
      </c>
      <c r="Q351" s="5">
        <f t="shared" si="139"/>
        <v>8</v>
      </c>
      <c r="R351" s="5">
        <f t="shared" si="139"/>
        <v>9</v>
      </c>
      <c r="S351" s="5">
        <f t="shared" si="139"/>
        <v>10</v>
      </c>
      <c r="T351" s="5">
        <f t="shared" si="139"/>
        <v>11</v>
      </c>
      <c r="U351" s="5">
        <f t="shared" si="139"/>
        <v>12</v>
      </c>
      <c r="V351" s="5">
        <f t="shared" si="139"/>
        <v>13</v>
      </c>
      <c r="W351" s="5">
        <f t="shared" si="139"/>
        <v>14</v>
      </c>
      <c r="X351" s="5">
        <f t="shared" si="139"/>
        <v>15</v>
      </c>
      <c r="Y351" s="5">
        <f t="shared" si="139"/>
        <v>16</v>
      </c>
      <c r="Z351" s="5">
        <f t="shared" si="139"/>
        <v>17</v>
      </c>
      <c r="AA351" s="5">
        <f t="shared" si="139"/>
        <v>18</v>
      </c>
      <c r="AB351" s="5">
        <f t="shared" si="139"/>
        <v>19</v>
      </c>
      <c r="AC351" s="5">
        <f t="shared" si="139"/>
        <v>20</v>
      </c>
      <c r="AD351" s="5">
        <f t="shared" si="139"/>
        <v>21</v>
      </c>
      <c r="AE351" s="5">
        <f t="shared" si="139"/>
        <v>22</v>
      </c>
      <c r="AF351" s="5">
        <f t="shared" si="139"/>
        <v>23</v>
      </c>
      <c r="AG351" s="5">
        <f t="shared" si="139"/>
        <v>24</v>
      </c>
      <c r="AH351" s="5">
        <f t="shared" si="139"/>
        <v>25</v>
      </c>
      <c r="AI351" s="5">
        <f t="shared" si="139"/>
        <v>26</v>
      </c>
      <c r="AJ351" s="5">
        <f t="shared" si="139"/>
        <v>27</v>
      </c>
      <c r="AK351" s="5">
        <f t="shared" si="139"/>
        <v>28</v>
      </c>
      <c r="AL351" s="5">
        <f t="shared" si="139"/>
        <v>29</v>
      </c>
      <c r="AM351" s="5">
        <f t="shared" si="139"/>
        <v>30</v>
      </c>
      <c r="AN351" s="5">
        <f t="shared" si="139"/>
        <v>31</v>
      </c>
      <c r="AO351" s="5">
        <f t="shared" si="139"/>
        <v>32</v>
      </c>
      <c r="AP351" s="5">
        <f t="shared" si="139"/>
        <v>33</v>
      </c>
      <c r="AQ351" s="5">
        <f t="shared" si="139"/>
        <v>34</v>
      </c>
      <c r="AR351" s="5">
        <f t="shared" si="139"/>
        <v>35</v>
      </c>
      <c r="AS351" s="5">
        <f t="shared" si="139"/>
        <v>36</v>
      </c>
      <c r="AT351" s="5">
        <f t="shared" si="139"/>
        <v>37</v>
      </c>
      <c r="AU351" s="5">
        <f t="shared" si="139"/>
        <v>38</v>
      </c>
      <c r="AV351" s="5">
        <f t="shared" si="139"/>
        <v>39</v>
      </c>
      <c r="AW351" s="5">
        <f t="shared" si="139"/>
        <v>40</v>
      </c>
      <c r="AX351" s="5">
        <f t="shared" si="139"/>
        <v>41</v>
      </c>
      <c r="AY351" s="5">
        <f t="shared" si="139"/>
        <v>42</v>
      </c>
      <c r="AZ351" s="5">
        <f t="shared" si="139"/>
        <v>43</v>
      </c>
      <c r="BA351" s="5">
        <f t="shared" si="139"/>
        <v>44</v>
      </c>
      <c r="BB351" s="5">
        <f t="shared" si="139"/>
        <v>45</v>
      </c>
      <c r="BC351" s="5">
        <f t="shared" si="139"/>
        <v>46</v>
      </c>
      <c r="BD351" s="5">
        <f t="shared" si="139"/>
        <v>47</v>
      </c>
      <c r="BE351" s="5">
        <f t="shared" si="139"/>
        <v>48</v>
      </c>
      <c r="BF351" s="5">
        <f t="shared" si="139"/>
        <v>49</v>
      </c>
      <c r="BG351" s="5">
        <f t="shared" si="139"/>
        <v>50</v>
      </c>
      <c r="BH351" s="5">
        <f t="shared" si="139"/>
        <v>51</v>
      </c>
      <c r="BI351" s="5">
        <f t="shared" si="139"/>
        <v>52</v>
      </c>
      <c r="BJ351" s="5">
        <f t="shared" si="139"/>
        <v>53</v>
      </c>
      <c r="BK351" s="5">
        <f t="shared" si="139"/>
        <v>54</v>
      </c>
      <c r="BL351" s="5">
        <f t="shared" si="139"/>
        <v>55</v>
      </c>
      <c r="BM351" s="5">
        <f t="shared" si="139"/>
        <v>56</v>
      </c>
      <c r="BN351" s="5">
        <f t="shared" si="139"/>
        <v>57</v>
      </c>
      <c r="BO351" s="5">
        <f t="shared" si="139"/>
        <v>58</v>
      </c>
      <c r="BP351" s="5">
        <f t="shared" si="139"/>
        <v>59</v>
      </c>
      <c r="BQ351" s="5">
        <f t="shared" si="139"/>
        <v>60</v>
      </c>
    </row>
    <row r="352" spans="1:69" outlineLevel="2">
      <c r="E352" s="47" t="s">
        <v>261</v>
      </c>
      <c r="G352" s="47" t="s">
        <v>91</v>
      </c>
      <c r="I352" s="5">
        <f t="shared" ref="I352:BQ352" si="140" xml:space="preserve">  IF( MOD( I351, 6 ) = 0, ( I351 / 6 ), 0 )</f>
        <v>0</v>
      </c>
      <c r="J352" s="5">
        <f t="shared" si="140"/>
        <v>0</v>
      </c>
      <c r="K352" s="5">
        <f t="shared" si="140"/>
        <v>0</v>
      </c>
      <c r="L352" s="5">
        <f t="shared" si="140"/>
        <v>0</v>
      </c>
      <c r="M352" s="5">
        <f t="shared" si="140"/>
        <v>0</v>
      </c>
      <c r="N352" s="5">
        <f t="shared" si="140"/>
        <v>0</v>
      </c>
      <c r="O352" s="5">
        <f t="shared" si="140"/>
        <v>1</v>
      </c>
      <c r="P352" s="5">
        <f t="shared" si="140"/>
        <v>0</v>
      </c>
      <c r="Q352" s="5">
        <f t="shared" si="140"/>
        <v>0</v>
      </c>
      <c r="R352" s="5">
        <f t="shared" si="140"/>
        <v>0</v>
      </c>
      <c r="S352" s="5">
        <f t="shared" si="140"/>
        <v>0</v>
      </c>
      <c r="T352" s="5">
        <f t="shared" si="140"/>
        <v>0</v>
      </c>
      <c r="U352" s="5">
        <f t="shared" si="140"/>
        <v>2</v>
      </c>
      <c r="V352" s="5">
        <f t="shared" si="140"/>
        <v>0</v>
      </c>
      <c r="W352" s="5">
        <f t="shared" si="140"/>
        <v>0</v>
      </c>
      <c r="X352" s="5">
        <f t="shared" si="140"/>
        <v>0</v>
      </c>
      <c r="Y352" s="5">
        <f t="shared" si="140"/>
        <v>0</v>
      </c>
      <c r="Z352" s="5">
        <f t="shared" si="140"/>
        <v>0</v>
      </c>
      <c r="AA352" s="5">
        <f t="shared" si="140"/>
        <v>3</v>
      </c>
      <c r="AB352" s="5">
        <f t="shared" si="140"/>
        <v>0</v>
      </c>
      <c r="AC352" s="5">
        <f t="shared" si="140"/>
        <v>0</v>
      </c>
      <c r="AD352" s="5">
        <f t="shared" si="140"/>
        <v>0</v>
      </c>
      <c r="AE352" s="5">
        <f t="shared" si="140"/>
        <v>0</v>
      </c>
      <c r="AF352" s="5">
        <f t="shared" si="140"/>
        <v>0</v>
      </c>
      <c r="AG352" s="5">
        <f t="shared" si="140"/>
        <v>4</v>
      </c>
      <c r="AH352" s="5">
        <f t="shared" si="140"/>
        <v>0</v>
      </c>
      <c r="AI352" s="5">
        <f t="shared" si="140"/>
        <v>0</v>
      </c>
      <c r="AJ352" s="5">
        <f t="shared" si="140"/>
        <v>0</v>
      </c>
      <c r="AK352" s="5">
        <f t="shared" si="140"/>
        <v>0</v>
      </c>
      <c r="AL352" s="5">
        <f t="shared" si="140"/>
        <v>0</v>
      </c>
      <c r="AM352" s="5">
        <f t="shared" si="140"/>
        <v>5</v>
      </c>
      <c r="AN352" s="5">
        <f t="shared" si="140"/>
        <v>0</v>
      </c>
      <c r="AO352" s="5">
        <f t="shared" si="140"/>
        <v>0</v>
      </c>
      <c r="AP352" s="5">
        <f t="shared" si="140"/>
        <v>0</v>
      </c>
      <c r="AQ352" s="5">
        <f t="shared" si="140"/>
        <v>0</v>
      </c>
      <c r="AR352" s="5">
        <f t="shared" si="140"/>
        <v>0</v>
      </c>
      <c r="AS352" s="5">
        <f t="shared" si="140"/>
        <v>6</v>
      </c>
      <c r="AT352" s="5">
        <f t="shared" si="140"/>
        <v>0</v>
      </c>
      <c r="AU352" s="5">
        <f t="shared" si="140"/>
        <v>0</v>
      </c>
      <c r="AV352" s="5">
        <f t="shared" si="140"/>
        <v>0</v>
      </c>
      <c r="AW352" s="5">
        <f t="shared" si="140"/>
        <v>0</v>
      </c>
      <c r="AX352" s="5">
        <f t="shared" si="140"/>
        <v>0</v>
      </c>
      <c r="AY352" s="5">
        <f t="shared" si="140"/>
        <v>7</v>
      </c>
      <c r="AZ352" s="5">
        <f t="shared" si="140"/>
        <v>0</v>
      </c>
      <c r="BA352" s="5">
        <f t="shared" si="140"/>
        <v>0</v>
      </c>
      <c r="BB352" s="5">
        <f t="shared" si="140"/>
        <v>0</v>
      </c>
      <c r="BC352" s="5">
        <f t="shared" si="140"/>
        <v>0</v>
      </c>
      <c r="BD352" s="5">
        <f t="shared" si="140"/>
        <v>0</v>
      </c>
      <c r="BE352" s="5">
        <f t="shared" si="140"/>
        <v>8</v>
      </c>
      <c r="BF352" s="5">
        <f t="shared" si="140"/>
        <v>0</v>
      </c>
      <c r="BG352" s="5">
        <f t="shared" si="140"/>
        <v>0</v>
      </c>
      <c r="BH352" s="5">
        <f t="shared" si="140"/>
        <v>0</v>
      </c>
      <c r="BI352" s="5">
        <f t="shared" si="140"/>
        <v>0</v>
      </c>
      <c r="BJ352" s="5">
        <f t="shared" si="140"/>
        <v>0</v>
      </c>
      <c r="BK352" s="5">
        <f t="shared" si="140"/>
        <v>9</v>
      </c>
      <c r="BL352" s="5">
        <f t="shared" si="140"/>
        <v>0</v>
      </c>
      <c r="BM352" s="5">
        <f t="shared" si="140"/>
        <v>0</v>
      </c>
      <c r="BN352" s="5">
        <f t="shared" si="140"/>
        <v>0</v>
      </c>
      <c r="BO352" s="5">
        <f t="shared" si="140"/>
        <v>0</v>
      </c>
      <c r="BP352" s="5">
        <f t="shared" si="140"/>
        <v>0</v>
      </c>
      <c r="BQ352" s="5">
        <f t="shared" si="140"/>
        <v>10</v>
      </c>
    </row>
    <row r="353" spans="1:13" outlineLevel="1"/>
    <row r="354" spans="1:13" outlineLevel="1"/>
    <row r="355" spans="1:13" outlineLevel="1">
      <c r="B355" s="25" t="s">
        <v>262</v>
      </c>
    </row>
    <row r="356" spans="1:13" outlineLevel="2">
      <c r="A356" s="18"/>
      <c r="B356" s="18"/>
      <c r="C356" s="28"/>
      <c r="D356" s="27"/>
      <c r="E356" s="20" t="str">
        <f xml:space="preserve">  InpC!E$102</f>
        <v>Start date</v>
      </c>
      <c r="F356" s="20">
        <f xml:space="preserve">  InpC!F$102</f>
        <v>45047</v>
      </c>
      <c r="G356" s="20" t="str">
        <f xml:space="preserve">  InpC!G$102</f>
        <v>date</v>
      </c>
      <c r="M356" s="8"/>
    </row>
    <row r="357" spans="1:13" outlineLevel="2">
      <c r="E357" s="47" t="s">
        <v>262</v>
      </c>
      <c r="F357" s="2">
        <f xml:space="preserve">  $F356 - 1</f>
        <v>45046</v>
      </c>
      <c r="G357" s="47" t="s">
        <v>214</v>
      </c>
      <c r="M357" s="2"/>
    </row>
    <row r="358" spans="1:13" outlineLevel="1"/>
    <row r="361" spans="1:13">
      <c r="B361" s="25" t="s">
        <v>271</v>
      </c>
    </row>
  </sheetData>
  <conditionalFormatting sqref="F2:F3">
    <cfRule type="cellIs" dxfId="266" priority="1" stopIfTrue="1" operator="notEqual">
      <formula>0</formula>
    </cfRule>
    <cfRule type="cellIs" dxfId="265" priority="2" stopIfTrue="1" operator="equal">
      <formula>""</formula>
    </cfRule>
  </conditionalFormatting>
  <conditionalFormatting sqref="J3:BQ3">
    <cfRule type="cellIs" dxfId="264" priority="8" operator="equal">
      <formula>"PPA ext."</formula>
    </cfRule>
    <cfRule type="cellIs" dxfId="263" priority="9" operator="equal">
      <formula>"Delay"</formula>
    </cfRule>
    <cfRule type="cellIs" dxfId="262" priority="10" operator="equal">
      <formula>"Fin Close"</formula>
    </cfRule>
    <cfRule type="cellIs" dxfId="261" priority="11" stopIfTrue="1" operator="equal">
      <formula>"Construction"</formula>
    </cfRule>
    <cfRule type="cellIs" dxfId="26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BQ9"/>
  <sheetViews>
    <sheetView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4"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Unallocated</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9" spans="1:69">
      <c r="B9" s="25" t="s">
        <v>271</v>
      </c>
    </row>
  </sheetData>
  <conditionalFormatting sqref="F2:F3">
    <cfRule type="cellIs" dxfId="259" priority="1" stopIfTrue="1" operator="notEqual">
      <formula>0</formula>
    </cfRule>
    <cfRule type="cellIs" dxfId="258" priority="2" stopIfTrue="1" operator="equal">
      <formula>""</formula>
    </cfRule>
  </conditionalFormatting>
  <conditionalFormatting sqref="J3:BQ3">
    <cfRule type="cellIs" dxfId="257" priority="8" operator="equal">
      <formula>"PPA ext."</formula>
    </cfRule>
    <cfRule type="cellIs" dxfId="256" priority="9" operator="equal">
      <formula>"Delay"</formula>
    </cfRule>
    <cfRule type="cellIs" dxfId="255" priority="10" operator="equal">
      <formula>"Fin Close"</formula>
    </cfRule>
    <cfRule type="cellIs" dxfId="254" priority="11" stopIfTrue="1" operator="equal">
      <formula>"Construction"</formula>
    </cfRule>
    <cfRule type="cellIs" dxfId="25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outlinePr summaryBelow="0" summaryRight="0"/>
  </sheetPr>
  <dimension ref="A1:BQ1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50" width="13.21875" style="47" bestFit="1" customWidth="1"/>
    <col min="51" max="69" width="14.4414062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Metrics</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59</v>
      </c>
    </row>
    <row r="9" spans="1:69" outlineLevel="1">
      <c r="A9" s="18"/>
      <c r="B9" s="18"/>
      <c r="C9" s="28"/>
      <c r="D9" s="27"/>
      <c r="E9" s="4" t="str">
        <f xml:space="preserve">  Financials!E$13</f>
        <v>Cash</v>
      </c>
      <c r="F9" s="4">
        <f xml:space="preserve">  Financials!F$13</f>
        <v>0</v>
      </c>
      <c r="G9" s="4" t="str">
        <f xml:space="preserve">  Financials!G$13</f>
        <v>GBP</v>
      </c>
      <c r="H9" s="4">
        <f xml:space="preserve">  Financials!H$13</f>
        <v>0</v>
      </c>
      <c r="I9" s="4">
        <f xml:space="preserve">  Financials!I$13</f>
        <v>0</v>
      </c>
      <c r="J9" s="4">
        <f ca="1" xml:space="preserve">  Financials!J$13</f>
        <v>-73700</v>
      </c>
      <c r="K9" s="4">
        <f ca="1" xml:space="preserve">  Financials!K$13</f>
        <v>-147400</v>
      </c>
      <c r="L9" s="4">
        <f ca="1" xml:space="preserve">  Financials!L$13</f>
        <v>-312700</v>
      </c>
      <c r="M9" s="4">
        <f ca="1" xml:space="preserve">  Financials!M$13</f>
        <v>-492068.6425364801</v>
      </c>
      <c r="N9" s="4">
        <f ca="1" xml:space="preserve">  Financials!N$13</f>
        <v>244162.71492703981</v>
      </c>
      <c r="O9" s="4">
        <f ca="1" xml:space="preserve">  Financials!O$13</f>
        <v>484015.64376082883</v>
      </c>
      <c r="P9" s="4">
        <f ca="1" xml:space="preserve">  Financials!P$13</f>
        <v>715562.10112999263</v>
      </c>
      <c r="Q9" s="4">
        <f ca="1" xml:space="preserve">  Financials!Q$13</f>
        <v>959708.5584991565</v>
      </c>
      <c r="R9" s="4">
        <f ca="1" xml:space="preserve">  Financials!R$13</f>
        <v>2188861.9002136067</v>
      </c>
      <c r="S9" s="4">
        <f ca="1" xml:space="preserve">  Financials!S$13</f>
        <v>3146306.8046398209</v>
      </c>
      <c r="T9" s="4">
        <f ca="1" xml:space="preserve">  Financials!T$13</f>
        <v>3599751.7090660352</v>
      </c>
      <c r="U9" s="4">
        <f ca="1" xml:space="preserve">  Financials!U$13</f>
        <v>2472193.3165630135</v>
      </c>
      <c r="V9" s="4">
        <f ca="1" xml:space="preserve">  Financials!V$13</f>
        <v>6943207.3417660166</v>
      </c>
      <c r="W9" s="4">
        <f ca="1" xml:space="preserve">  Financials!W$13</f>
        <v>6653668.6086065518</v>
      </c>
      <c r="X9" s="4">
        <f ca="1" xml:space="preserve">  Financials!X$13</f>
        <v>9580244.5202764049</v>
      </c>
      <c r="Y9" s="4">
        <f ca="1" xml:space="preserve">  Financials!Y$13</f>
        <v>12231591.544738874</v>
      </c>
      <c r="Z9" s="4">
        <f ca="1" xml:space="preserve">  Financials!Z$13</f>
        <v>13705908.012009982</v>
      </c>
      <c r="AA9" s="4">
        <f ca="1" xml:space="preserve">  Financials!AA$13</f>
        <v>17588311.54576759</v>
      </c>
      <c r="AB9" s="4">
        <f ca="1" xml:space="preserve">  Financials!AB$13</f>
        <v>17734708.372612521</v>
      </c>
      <c r="AC9" s="4">
        <f ca="1" xml:space="preserve">  Financials!AC$13</f>
        <v>17735277.780543208</v>
      </c>
      <c r="AD9" s="4">
        <f ca="1" xml:space="preserve">  Financials!AD$13</f>
        <v>19157629.263761412</v>
      </c>
      <c r="AE9" s="4">
        <f ca="1" xml:space="preserve">  Financials!AE$13</f>
        <v>19973519.934109382</v>
      </c>
      <c r="AF9" s="4">
        <f ca="1" xml:space="preserve">  Financials!AF$13</f>
        <v>20260935.879779249</v>
      </c>
      <c r="AG9" s="4">
        <f ca="1" xml:space="preserve">  Financials!AG$13</f>
        <v>20335597.073989335</v>
      </c>
      <c r="AH9" s="4">
        <f ca="1" xml:space="preserve">  Financials!AH$13</f>
        <v>27079267.230614197</v>
      </c>
      <c r="AI9" s="4">
        <f ca="1" xml:space="preserve">  Financials!AI$13</f>
        <v>28554331.870514121</v>
      </c>
      <c r="AJ9" s="4">
        <f ca="1" xml:space="preserve">  Financials!AJ$13</f>
        <v>34936293.001365945</v>
      </c>
      <c r="AK9" s="4">
        <f ca="1" xml:space="preserve">  Financials!AK$13</f>
        <v>36059591.215472765</v>
      </c>
      <c r="AL9" s="4">
        <f ca="1" xml:space="preserve">  Financials!AL$13</f>
        <v>40730721.930600643</v>
      </c>
      <c r="AM9" s="4">
        <f ca="1" xml:space="preserve">  Financials!AM$13</f>
        <v>44285806.203606084</v>
      </c>
      <c r="AN9" s="4">
        <f ca="1" xml:space="preserve">  Financials!AN$13</f>
        <v>48095180.752578296</v>
      </c>
      <c r="AO9" s="4">
        <f ca="1" xml:space="preserve">  Financials!AO$13</f>
        <v>51507987.174390122</v>
      </c>
      <c r="AP9" s="4">
        <f ca="1" xml:space="preserve">  Financials!AP$13</f>
        <v>53076708.11089506</v>
      </c>
      <c r="AQ9" s="4">
        <f ca="1" xml:space="preserve">  Financials!AQ$13</f>
        <v>56398853.127755851</v>
      </c>
      <c r="AR9" s="4">
        <f ca="1" xml:space="preserve">  Financials!AR$13</f>
        <v>62139548.695260428</v>
      </c>
      <c r="AS9" s="4">
        <f ca="1" xml:space="preserve">  Financials!AS$13</f>
        <v>64262517.036365427</v>
      </c>
      <c r="AT9" s="4">
        <f ca="1" xml:space="preserve">  Financials!AT$13</f>
        <v>72403205.87197195</v>
      </c>
      <c r="AU9" s="4">
        <f ca="1" xml:space="preserve">  Financials!AU$13</f>
        <v>80325586.191602379</v>
      </c>
      <c r="AV9" s="4">
        <f ca="1" xml:space="preserve">  Financials!AV$13</f>
        <v>87995244.625909925</v>
      </c>
      <c r="AW9" s="4">
        <f ca="1" xml:space="preserve">  Financials!AW$13</f>
        <v>86275039.658933625</v>
      </c>
      <c r="AX9" s="4">
        <f ca="1" xml:space="preserve">  Financials!AX$13</f>
        <v>98744140.135362491</v>
      </c>
      <c r="AY9" s="4">
        <f ca="1" xml:space="preserve">  Financials!AY$13</f>
        <v>104627912.68183477</v>
      </c>
      <c r="AZ9" s="4">
        <f ca="1" xml:space="preserve">  Financials!AZ$13</f>
        <v>116911073.59388338</v>
      </c>
      <c r="BA9" s="4">
        <f ca="1" xml:space="preserve">  Financials!BA$13</f>
        <v>131560889.0355259</v>
      </c>
      <c r="BB9" s="4">
        <f ca="1" xml:space="preserve">  Financials!BB$13</f>
        <v>138380295.72033033</v>
      </c>
      <c r="BC9" s="4">
        <f ca="1" xml:space="preserve">  Financials!BC$13</f>
        <v>152609638.81596532</v>
      </c>
      <c r="BD9" s="4">
        <f ca="1" xml:space="preserve">  Financials!BD$13</f>
        <v>169092055.76067761</v>
      </c>
      <c r="BE9" s="4">
        <f ca="1" xml:space="preserve">  Financials!BE$13</f>
        <v>176366212.33554223</v>
      </c>
      <c r="BF9" s="4">
        <f ca="1" xml:space="preserve">  Financials!BF$13</f>
        <v>195053534.93091604</v>
      </c>
      <c r="BG9" s="4">
        <f ca="1" xml:space="preserve">  Financials!BG$13</f>
        <v>215918740.49433768</v>
      </c>
      <c r="BH9" s="4">
        <f ca="1" xml:space="preserve">  Financials!BH$13</f>
        <v>227831086.05100104</v>
      </c>
      <c r="BI9" s="4">
        <f ca="1" xml:space="preserve">  Financials!BI$13</f>
        <v>226204622.19156826</v>
      </c>
      <c r="BJ9" s="4">
        <f ca="1" xml:space="preserve">  Financials!BJ$13</f>
        <v>251376068.41005829</v>
      </c>
      <c r="BK9" s="4">
        <f ca="1" xml:space="preserve">  Financials!BK$13</f>
        <v>264813228.27268738</v>
      </c>
      <c r="BL9" s="4">
        <f ca="1" xml:space="preserve">  Financials!BL$13</f>
        <v>291881615.1468361</v>
      </c>
      <c r="BM9" s="4">
        <f ca="1" xml:space="preserve">  Financials!BM$13</f>
        <v>321121311.08017266</v>
      </c>
      <c r="BN9" s="4">
        <f ca="1" xml:space="preserve">  Financials!BN$13</f>
        <v>336412837.19385707</v>
      </c>
      <c r="BO9" s="4">
        <f ca="1" xml:space="preserve">  Financials!BO$13</f>
        <v>367479439.15008116</v>
      </c>
      <c r="BP9" s="4">
        <f ca="1" xml:space="preserve">  Financials!BP$13</f>
        <v>400574188.80445975</v>
      </c>
      <c r="BQ9" s="4">
        <f ca="1" xml:space="preserve">  Financials!BQ$13</f>
        <v>419383336.21187401</v>
      </c>
    </row>
    <row r="10" spans="1:69" outlineLevel="1">
      <c r="A10" s="34"/>
      <c r="B10" s="34"/>
      <c r="C10" s="64"/>
      <c r="D10" s="65"/>
      <c r="E10" s="21" t="s">
        <v>59</v>
      </c>
      <c r="F10" s="3">
        <f ca="1" xml:space="preserve">  MIN( $J9:$BQ9 )</f>
        <v>-492068.6425364801</v>
      </c>
      <c r="G10" s="21" t="s">
        <v>257</v>
      </c>
      <c r="M10" s="2"/>
    </row>
    <row r="13" spans="1:69">
      <c r="B13" s="25" t="s">
        <v>271</v>
      </c>
    </row>
  </sheetData>
  <conditionalFormatting sqref="F2:F3">
    <cfRule type="cellIs" dxfId="252" priority="1" stopIfTrue="1" operator="notEqual">
      <formula>0</formula>
    </cfRule>
    <cfRule type="cellIs" dxfId="251" priority="2" stopIfTrue="1" operator="equal">
      <formula>""</formula>
    </cfRule>
  </conditionalFormatting>
  <conditionalFormatting sqref="J3:BQ3">
    <cfRule type="cellIs" dxfId="250" priority="8" operator="equal">
      <formula>"PPA ext."</formula>
    </cfRule>
    <cfRule type="cellIs" dxfId="249" priority="9" operator="equal">
      <formula>"Delay"</formula>
    </cfRule>
    <cfRule type="cellIs" dxfId="248" priority="10" operator="equal">
      <formula>"Fin Close"</formula>
    </cfRule>
    <cfRule type="cellIs" dxfId="247" priority="11" stopIfTrue="1" operator="equal">
      <formula>"Construction"</formula>
    </cfRule>
    <cfRule type="cellIs" dxfId="24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outlinePr summaryBelow="0" summaryRight="0"/>
  </sheetPr>
  <dimension ref="A1:BQ4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31.66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777343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3.21875" style="47" bestFit="1" customWidth="1"/>
    <col min="21" max="21" width="12.44140625" style="47" bestFit="1" customWidth="1"/>
    <col min="22" max="45" width="13.21875" style="47" bestFit="1" customWidth="1"/>
    <col min="46" max="69" width="14.4414062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Financials</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321</v>
      </c>
    </row>
    <row r="9" spans="1:69" s="80" customFormat="1">
      <c r="A9" s="60"/>
      <c r="B9" s="60"/>
      <c r="C9" s="82"/>
      <c r="D9" s="85"/>
      <c r="E9" s="40" t="str">
        <f xml:space="preserve">  InpC!E$49</f>
        <v>Opening Cash</v>
      </c>
      <c r="F9" s="40">
        <f xml:space="preserve">  InpC!F$49</f>
        <v>0</v>
      </c>
      <c r="G9" s="40" t="str">
        <f xml:space="preserve">  InpC!G$49</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306</v>
      </c>
      <c r="G11" s="47" t="s">
        <v>257</v>
      </c>
      <c r="J11" s="2">
        <f t="shared" ref="J11:BQ11" si="0" xml:space="preserve">  I13</f>
        <v>0</v>
      </c>
      <c r="K11" s="2">
        <f t="shared" ca="1" si="0"/>
        <v>-73700</v>
      </c>
      <c r="L11" s="2">
        <f t="shared" ca="1" si="0"/>
        <v>-147400</v>
      </c>
      <c r="M11" s="2">
        <f t="shared" ca="1" si="0"/>
        <v>-312700</v>
      </c>
      <c r="N11" s="2">
        <f t="shared" ca="1" si="0"/>
        <v>-492068.6425364801</v>
      </c>
      <c r="O11" s="2">
        <f t="shared" ca="1" si="0"/>
        <v>244162.71492703981</v>
      </c>
      <c r="P11" s="2">
        <f t="shared" ca="1" si="0"/>
        <v>484015.64376082883</v>
      </c>
      <c r="Q11" s="2">
        <f t="shared" ca="1" si="0"/>
        <v>715562.10112999263</v>
      </c>
      <c r="R11" s="2">
        <f t="shared" ca="1" si="0"/>
        <v>959708.5584991565</v>
      </c>
      <c r="S11" s="2">
        <f t="shared" ca="1" si="0"/>
        <v>2188861.9002136067</v>
      </c>
      <c r="T11" s="2">
        <f t="shared" ca="1" si="0"/>
        <v>3146306.8046398209</v>
      </c>
      <c r="U11" s="2">
        <f t="shared" ca="1" si="0"/>
        <v>3599751.7090660352</v>
      </c>
      <c r="V11" s="2">
        <f t="shared" ca="1" si="0"/>
        <v>2472193.3165630135</v>
      </c>
      <c r="W11" s="2">
        <f t="shared" ca="1" si="0"/>
        <v>6943207.3417660166</v>
      </c>
      <c r="X11" s="2">
        <f t="shared" ca="1" si="0"/>
        <v>6653668.6086065518</v>
      </c>
      <c r="Y11" s="2">
        <f t="shared" ca="1" si="0"/>
        <v>9580244.5202764049</v>
      </c>
      <c r="Z11" s="2">
        <f t="shared" ca="1" si="0"/>
        <v>12231591.544738874</v>
      </c>
      <c r="AA11" s="2">
        <f t="shared" ca="1" si="0"/>
        <v>13705908.012009982</v>
      </c>
      <c r="AB11" s="2">
        <f t="shared" ca="1" si="0"/>
        <v>17588311.54576759</v>
      </c>
      <c r="AC11" s="2">
        <f t="shared" ca="1" si="0"/>
        <v>17734708.372612521</v>
      </c>
      <c r="AD11" s="2">
        <f t="shared" ca="1" si="0"/>
        <v>17735277.780543208</v>
      </c>
      <c r="AE11" s="2">
        <f t="shared" ca="1" si="0"/>
        <v>19157629.263761412</v>
      </c>
      <c r="AF11" s="2">
        <f t="shared" ca="1" si="0"/>
        <v>19973519.934109382</v>
      </c>
      <c r="AG11" s="2">
        <f t="shared" ca="1" si="0"/>
        <v>20260935.879779249</v>
      </c>
      <c r="AH11" s="2">
        <f t="shared" ca="1" si="0"/>
        <v>20335597.073989335</v>
      </c>
      <c r="AI11" s="2">
        <f t="shared" ca="1" si="0"/>
        <v>27079267.230614197</v>
      </c>
      <c r="AJ11" s="2">
        <f t="shared" ca="1" si="0"/>
        <v>28554331.870514121</v>
      </c>
      <c r="AK11" s="2">
        <f t="shared" ca="1" si="0"/>
        <v>34936293.001365945</v>
      </c>
      <c r="AL11" s="2">
        <f t="shared" ca="1" si="0"/>
        <v>36059591.215472765</v>
      </c>
      <c r="AM11" s="2">
        <f t="shared" ca="1" si="0"/>
        <v>40730721.930600643</v>
      </c>
      <c r="AN11" s="2">
        <f t="shared" ca="1" si="0"/>
        <v>44285806.203606084</v>
      </c>
      <c r="AO11" s="2">
        <f t="shared" ca="1" si="0"/>
        <v>48095180.752578296</v>
      </c>
      <c r="AP11" s="2">
        <f t="shared" ca="1" si="0"/>
        <v>51507987.174390122</v>
      </c>
      <c r="AQ11" s="2">
        <f t="shared" ca="1" si="0"/>
        <v>53076708.11089506</v>
      </c>
      <c r="AR11" s="2">
        <f t="shared" ca="1" si="0"/>
        <v>56398853.127755851</v>
      </c>
      <c r="AS11" s="2">
        <f t="shared" ca="1" si="0"/>
        <v>62139548.695260428</v>
      </c>
      <c r="AT11" s="2">
        <f t="shared" ca="1" si="0"/>
        <v>64262517.036365427</v>
      </c>
      <c r="AU11" s="2">
        <f t="shared" ca="1" si="0"/>
        <v>72403205.87197195</v>
      </c>
      <c r="AV11" s="2">
        <f t="shared" ca="1" si="0"/>
        <v>80325586.191602379</v>
      </c>
      <c r="AW11" s="2">
        <f t="shared" ca="1" si="0"/>
        <v>87995244.625909925</v>
      </c>
      <c r="AX11" s="2">
        <f t="shared" ca="1" si="0"/>
        <v>86275039.658933625</v>
      </c>
      <c r="AY11" s="2">
        <f t="shared" ca="1" si="0"/>
        <v>98744140.135362491</v>
      </c>
      <c r="AZ11" s="2">
        <f t="shared" ca="1" si="0"/>
        <v>104627912.68183477</v>
      </c>
      <c r="BA11" s="2">
        <f t="shared" ca="1" si="0"/>
        <v>116911073.59388338</v>
      </c>
      <c r="BB11" s="2">
        <f t="shared" ca="1" si="0"/>
        <v>131560889.0355259</v>
      </c>
      <c r="BC11" s="2">
        <f t="shared" ca="1" si="0"/>
        <v>138380295.72033033</v>
      </c>
      <c r="BD11" s="2">
        <f t="shared" ca="1" si="0"/>
        <v>152609638.81596532</v>
      </c>
      <c r="BE11" s="2">
        <f t="shared" ca="1" si="0"/>
        <v>169092055.76067761</v>
      </c>
      <c r="BF11" s="2">
        <f t="shared" ca="1" si="0"/>
        <v>176366212.33554223</v>
      </c>
      <c r="BG11" s="2">
        <f t="shared" ca="1" si="0"/>
        <v>195053534.93091604</v>
      </c>
      <c r="BH11" s="2">
        <f t="shared" ca="1" si="0"/>
        <v>215918740.49433768</v>
      </c>
      <c r="BI11" s="2">
        <f t="shared" ca="1" si="0"/>
        <v>227831086.05100104</v>
      </c>
      <c r="BJ11" s="2">
        <f t="shared" ca="1" si="0"/>
        <v>226204622.19156826</v>
      </c>
      <c r="BK11" s="2">
        <f t="shared" ca="1" si="0"/>
        <v>251376068.41005829</v>
      </c>
      <c r="BL11" s="2">
        <f t="shared" ca="1" si="0"/>
        <v>264813228.27268738</v>
      </c>
      <c r="BM11" s="2">
        <f t="shared" ca="1" si="0"/>
        <v>291881615.1468361</v>
      </c>
      <c r="BN11" s="2">
        <f t="shared" ca="1" si="0"/>
        <v>321121311.08017266</v>
      </c>
      <c r="BO11" s="2">
        <f t="shared" ca="1" si="0"/>
        <v>336412837.19385707</v>
      </c>
      <c r="BP11" s="2">
        <f t="shared" ca="1" si="0"/>
        <v>367479439.15008116</v>
      </c>
      <c r="BQ11" s="2">
        <f t="shared" ca="1" si="0"/>
        <v>400574188.80445975</v>
      </c>
    </row>
    <row r="12" spans="1:69">
      <c r="A12" s="18"/>
      <c r="B12" s="18"/>
      <c r="C12" s="28"/>
      <c r="D12" s="27" t="s">
        <v>220</v>
      </c>
      <c r="E12" s="4" t="str">
        <f xml:space="preserve">  Cashflow!E$29</f>
        <v>Net Cashflow</v>
      </c>
      <c r="F12" s="4">
        <f xml:space="preserve">  Cashflow!F$29</f>
        <v>0</v>
      </c>
      <c r="G12" s="4" t="str">
        <f xml:space="preserve">  Cashflow!G$29</f>
        <v>GBP</v>
      </c>
      <c r="H12" s="4">
        <f ca="1" xml:space="preserve">  Cashflow!H$29</f>
        <v>419383336.21187401</v>
      </c>
      <c r="I12" s="4">
        <f xml:space="preserve">  Cashflow!I$29</f>
        <v>0</v>
      </c>
      <c r="J12" s="4">
        <f ca="1" xml:space="preserve">  Cashflow!J$29</f>
        <v>-73700</v>
      </c>
      <c r="K12" s="4">
        <f ca="1" xml:space="preserve">  Cashflow!K$29</f>
        <v>-73700</v>
      </c>
      <c r="L12" s="4">
        <f ca="1" xml:space="preserve">  Cashflow!L$29</f>
        <v>-165300</v>
      </c>
      <c r="M12" s="4">
        <f ca="1" xml:space="preserve">  Cashflow!M$29</f>
        <v>-179368.64253648007</v>
      </c>
      <c r="N12" s="4">
        <f ca="1" xml:space="preserve">  Cashflow!N$29</f>
        <v>736231.3574635199</v>
      </c>
      <c r="O12" s="4">
        <f ca="1" xml:space="preserve">  Cashflow!O$29</f>
        <v>239852.92883378902</v>
      </c>
      <c r="P12" s="4">
        <f ca="1" xml:space="preserve">  Cashflow!P$29</f>
        <v>231546.45736916387</v>
      </c>
      <c r="Q12" s="4">
        <f ca="1" xml:space="preserve">  Cashflow!Q$29</f>
        <v>244146.45736916387</v>
      </c>
      <c r="R12" s="4">
        <f ca="1" xml:space="preserve">  Cashflow!R$29</f>
        <v>1229153.3417144502</v>
      </c>
      <c r="S12" s="4">
        <f ca="1" xml:space="preserve">  Cashflow!S$29</f>
        <v>957444.90442621405</v>
      </c>
      <c r="T12" s="4">
        <f ca="1" xml:space="preserve">  Cashflow!T$29</f>
        <v>453444.90442621411</v>
      </c>
      <c r="U12" s="4">
        <f ca="1" xml:space="preserve">  Cashflow!U$29</f>
        <v>-1127558.3925030218</v>
      </c>
      <c r="V12" s="4">
        <f ca="1" xml:space="preserve">  Cashflow!V$29</f>
        <v>4471014.0252030026</v>
      </c>
      <c r="W12" s="4">
        <f ca="1" xml:space="preserve">  Cashflow!W$29</f>
        <v>-289538.73315946513</v>
      </c>
      <c r="X12" s="4">
        <f ca="1" xml:space="preserve">  Cashflow!X$29</f>
        <v>2926575.9116698531</v>
      </c>
      <c r="Y12" s="4">
        <f ca="1" xml:space="preserve">  Cashflow!Y$29</f>
        <v>2651347.0244624694</v>
      </c>
      <c r="Z12" s="4">
        <f ca="1" xml:space="preserve">  Cashflow!Z$29</f>
        <v>1474316.4672711091</v>
      </c>
      <c r="AA12" s="4">
        <f ca="1" xml:space="preserve">  Cashflow!AA$29</f>
        <v>3882403.5337576102</v>
      </c>
      <c r="AB12" s="4">
        <f ca="1" xml:space="preserve">  Cashflow!AB$29</f>
        <v>146396.82684492937</v>
      </c>
      <c r="AC12" s="4">
        <f ca="1" xml:space="preserve">  Cashflow!AC$29</f>
        <v>569.40793068800122</v>
      </c>
      <c r="AD12" s="4">
        <f ca="1" xml:space="preserve">  Cashflow!AD$29</f>
        <v>1422351.483218204</v>
      </c>
      <c r="AE12" s="4">
        <f ca="1" xml:space="preserve">  Cashflow!AE$29</f>
        <v>815890.67034797138</v>
      </c>
      <c r="AF12" s="4">
        <f ca="1" xml:space="preserve">  Cashflow!AF$29</f>
        <v>287415.94566986582</v>
      </c>
      <c r="AG12" s="4">
        <f ca="1" xml:space="preserve">  Cashflow!AG$29</f>
        <v>74661.194210084213</v>
      </c>
      <c r="AH12" s="4">
        <f ca="1" xml:space="preserve">  Cashflow!AH$29</f>
        <v>6743670.1566248611</v>
      </c>
      <c r="AI12" s="4">
        <f ca="1" xml:space="preserve">  Cashflow!AI$29</f>
        <v>1475064.6398999251</v>
      </c>
      <c r="AJ12" s="4">
        <f ca="1" xml:space="preserve">  Cashflow!AJ$29</f>
        <v>6381961.130851822</v>
      </c>
      <c r="AK12" s="4">
        <f ca="1" xml:space="preserve">  Cashflow!AK$29</f>
        <v>1123298.2141068205</v>
      </c>
      <c r="AL12" s="4">
        <f ca="1" xml:space="preserve">  Cashflow!AL$29</f>
        <v>4671130.7151278798</v>
      </c>
      <c r="AM12" s="4">
        <f ca="1" xml:space="preserve">  Cashflow!AM$29</f>
        <v>3555084.2730054427</v>
      </c>
      <c r="AN12" s="4">
        <f ca="1" xml:space="preserve">  Cashflow!AN$29</f>
        <v>3809374.5489722099</v>
      </c>
      <c r="AO12" s="4">
        <f ca="1" xml:space="preserve">  Cashflow!AO$29</f>
        <v>3412806.4218118279</v>
      </c>
      <c r="AP12" s="4">
        <f ca="1" xml:space="preserve">  Cashflow!AP$29</f>
        <v>1568720.9365049377</v>
      </c>
      <c r="AQ12" s="4">
        <f ca="1" xml:space="preserve">  Cashflow!AQ$29</f>
        <v>3322145.0168607868</v>
      </c>
      <c r="AR12" s="4">
        <f ca="1" xml:space="preserve">  Cashflow!AR$29</f>
        <v>5740695.5675045755</v>
      </c>
      <c r="AS12" s="4">
        <f ca="1" xml:space="preserve">  Cashflow!AS$29</f>
        <v>2122968.3411050001</v>
      </c>
      <c r="AT12" s="4">
        <f ca="1" xml:space="preserve">  Cashflow!AT$29</f>
        <v>8140688.8356065191</v>
      </c>
      <c r="AU12" s="4">
        <f ca="1" xml:space="preserve">  Cashflow!AU$29</f>
        <v>7922380.3196304273</v>
      </c>
      <c r="AV12" s="4">
        <f ca="1" xml:space="preserve">  Cashflow!AV$29</f>
        <v>7669658.4343075529</v>
      </c>
      <c r="AW12" s="4">
        <f ca="1" xml:space="preserve">  Cashflow!AW$29</f>
        <v>-1720204.966976298</v>
      </c>
      <c r="AX12" s="4">
        <f ca="1" xml:space="preserve">  Cashflow!AX$29</f>
        <v>12469100.476428872</v>
      </c>
      <c r="AY12" s="4">
        <f ca="1" xml:space="preserve">  Cashflow!AY$29</f>
        <v>5883772.5464722803</v>
      </c>
      <c r="AZ12" s="4">
        <f ca="1" xml:space="preserve">  Cashflow!AZ$29</f>
        <v>12283160.912048608</v>
      </c>
      <c r="BA12" s="4">
        <f ca="1" xml:space="preserve">  Cashflow!BA$29</f>
        <v>14649815.441642519</v>
      </c>
      <c r="BB12" s="4">
        <f ca="1" xml:space="preserve">  Cashflow!BB$29</f>
        <v>6819406.6848044237</v>
      </c>
      <c r="BC12" s="4">
        <f ca="1" xml:space="preserve">  Cashflow!BC$29</f>
        <v>14229343.095635004</v>
      </c>
      <c r="BD12" s="4">
        <f ca="1" xml:space="preserve">  Cashflow!BD$29</f>
        <v>16482416.944712285</v>
      </c>
      <c r="BE12" s="4">
        <f ca="1" xml:space="preserve">  Cashflow!BE$29</f>
        <v>7274156.5748646278</v>
      </c>
      <c r="BF12" s="4">
        <f ca="1" xml:space="preserve">  Cashflow!BF$29</f>
        <v>18687322.595373821</v>
      </c>
      <c r="BG12" s="4">
        <f ca="1" xml:space="preserve">  Cashflow!BG$29</f>
        <v>20865205.563421633</v>
      </c>
      <c r="BH12" s="4">
        <f ca="1" xml:space="preserve">  Cashflow!BH$29</f>
        <v>11912345.556663362</v>
      </c>
      <c r="BI12" s="4">
        <f ca="1" xml:space="preserve">  Cashflow!BI$29</f>
        <v>-1626463.8594327904</v>
      </c>
      <c r="BJ12" s="4">
        <f ca="1" xml:space="preserve">  Cashflow!BJ$29</f>
        <v>25171446.218490042</v>
      </c>
      <c r="BK12" s="4">
        <f ca="1" xml:space="preserve">  Cashflow!BK$29</f>
        <v>13437159.862629097</v>
      </c>
      <c r="BL12" s="4">
        <f ca="1" xml:space="preserve">  Cashflow!BL$29</f>
        <v>27068386.874148738</v>
      </c>
      <c r="BM12" s="4">
        <f ca="1" xml:space="preserve">  Cashflow!BM$29</f>
        <v>29239695.93333656</v>
      </c>
      <c r="BN12" s="4">
        <f ca="1" xml:space="preserve">  Cashflow!BN$29</f>
        <v>15291526.113684423</v>
      </c>
      <c r="BO12" s="4">
        <f ca="1" xml:space="preserve">  Cashflow!BO$29</f>
        <v>31066601.956224069</v>
      </c>
      <c r="BP12" s="4">
        <f ca="1" xml:space="preserve">  Cashflow!BP$29</f>
        <v>33094749.654378615</v>
      </c>
      <c r="BQ12" s="4">
        <f ca="1" xml:space="preserve">  Cashflow!BQ$29</f>
        <v>18809147.40741425</v>
      </c>
    </row>
    <row r="13" spans="1:69" s="86" customFormat="1">
      <c r="A13" s="63"/>
      <c r="B13" s="63"/>
      <c r="C13" s="89"/>
      <c r="D13" s="91"/>
      <c r="E13" s="33" t="s">
        <v>321</v>
      </c>
      <c r="F13" s="33"/>
      <c r="G13" s="33" t="s">
        <v>257</v>
      </c>
      <c r="H13" s="33"/>
      <c r="I13" s="11">
        <f t="shared" ref="I13:BQ13" si="1" xml:space="preserve">  IF( I10 = 0, $F9, I11 + I12 )</f>
        <v>0</v>
      </c>
      <c r="J13" s="11">
        <f t="shared" ca="1" si="1"/>
        <v>-73700</v>
      </c>
      <c r="K13" s="11">
        <f t="shared" ca="1" si="1"/>
        <v>-147400</v>
      </c>
      <c r="L13" s="11">
        <f t="shared" ca="1" si="1"/>
        <v>-312700</v>
      </c>
      <c r="M13" s="11">
        <f t="shared" ca="1" si="1"/>
        <v>-492068.6425364801</v>
      </c>
      <c r="N13" s="11">
        <f t="shared" ca="1" si="1"/>
        <v>244162.71492703981</v>
      </c>
      <c r="O13" s="11">
        <f t="shared" ca="1" si="1"/>
        <v>484015.64376082883</v>
      </c>
      <c r="P13" s="11">
        <f t="shared" ca="1" si="1"/>
        <v>715562.10112999263</v>
      </c>
      <c r="Q13" s="11">
        <f t="shared" ca="1" si="1"/>
        <v>959708.5584991565</v>
      </c>
      <c r="R13" s="11">
        <f t="shared" ca="1" si="1"/>
        <v>2188861.9002136067</v>
      </c>
      <c r="S13" s="11">
        <f t="shared" ca="1" si="1"/>
        <v>3146306.8046398209</v>
      </c>
      <c r="T13" s="11">
        <f t="shared" ca="1" si="1"/>
        <v>3599751.7090660352</v>
      </c>
      <c r="U13" s="11">
        <f t="shared" ca="1" si="1"/>
        <v>2472193.3165630135</v>
      </c>
      <c r="V13" s="11">
        <f t="shared" ca="1" si="1"/>
        <v>6943207.3417660166</v>
      </c>
      <c r="W13" s="11">
        <f t="shared" ca="1" si="1"/>
        <v>6653668.6086065518</v>
      </c>
      <c r="X13" s="11">
        <f t="shared" ca="1" si="1"/>
        <v>9580244.5202764049</v>
      </c>
      <c r="Y13" s="11">
        <f t="shared" ca="1" si="1"/>
        <v>12231591.544738874</v>
      </c>
      <c r="Z13" s="11">
        <f t="shared" ca="1" si="1"/>
        <v>13705908.012009982</v>
      </c>
      <c r="AA13" s="11">
        <f t="shared" ca="1" si="1"/>
        <v>17588311.54576759</v>
      </c>
      <c r="AB13" s="11">
        <f t="shared" ca="1" si="1"/>
        <v>17734708.372612521</v>
      </c>
      <c r="AC13" s="11">
        <f t="shared" ca="1" si="1"/>
        <v>17735277.780543208</v>
      </c>
      <c r="AD13" s="11">
        <f t="shared" ca="1" si="1"/>
        <v>19157629.263761412</v>
      </c>
      <c r="AE13" s="11">
        <f t="shared" ca="1" si="1"/>
        <v>19973519.934109382</v>
      </c>
      <c r="AF13" s="11">
        <f t="shared" ca="1" si="1"/>
        <v>20260935.879779249</v>
      </c>
      <c r="AG13" s="11">
        <f t="shared" ca="1" si="1"/>
        <v>20335597.073989335</v>
      </c>
      <c r="AH13" s="11">
        <f t="shared" ca="1" si="1"/>
        <v>27079267.230614197</v>
      </c>
      <c r="AI13" s="11">
        <f t="shared" ca="1" si="1"/>
        <v>28554331.870514121</v>
      </c>
      <c r="AJ13" s="11">
        <f t="shared" ca="1" si="1"/>
        <v>34936293.001365945</v>
      </c>
      <c r="AK13" s="11">
        <f t="shared" ca="1" si="1"/>
        <v>36059591.215472765</v>
      </c>
      <c r="AL13" s="11">
        <f t="shared" ca="1" si="1"/>
        <v>40730721.930600643</v>
      </c>
      <c r="AM13" s="11">
        <f t="shared" ca="1" si="1"/>
        <v>44285806.203606084</v>
      </c>
      <c r="AN13" s="11">
        <f t="shared" ca="1" si="1"/>
        <v>48095180.752578296</v>
      </c>
      <c r="AO13" s="11">
        <f t="shared" ca="1" si="1"/>
        <v>51507987.174390122</v>
      </c>
      <c r="AP13" s="11">
        <f t="shared" ca="1" si="1"/>
        <v>53076708.11089506</v>
      </c>
      <c r="AQ13" s="11">
        <f t="shared" ca="1" si="1"/>
        <v>56398853.127755851</v>
      </c>
      <c r="AR13" s="11">
        <f t="shared" ca="1" si="1"/>
        <v>62139548.695260428</v>
      </c>
      <c r="AS13" s="11">
        <f t="shared" ca="1" si="1"/>
        <v>64262517.036365427</v>
      </c>
      <c r="AT13" s="11">
        <f t="shared" ca="1" si="1"/>
        <v>72403205.87197195</v>
      </c>
      <c r="AU13" s="11">
        <f t="shared" ca="1" si="1"/>
        <v>80325586.191602379</v>
      </c>
      <c r="AV13" s="11">
        <f t="shared" ca="1" si="1"/>
        <v>87995244.625909925</v>
      </c>
      <c r="AW13" s="11">
        <f t="shared" ca="1" si="1"/>
        <v>86275039.658933625</v>
      </c>
      <c r="AX13" s="11">
        <f t="shared" ca="1" si="1"/>
        <v>98744140.135362491</v>
      </c>
      <c r="AY13" s="11">
        <f t="shared" ca="1" si="1"/>
        <v>104627912.68183477</v>
      </c>
      <c r="AZ13" s="11">
        <f t="shared" ca="1" si="1"/>
        <v>116911073.59388338</v>
      </c>
      <c r="BA13" s="11">
        <f t="shared" ca="1" si="1"/>
        <v>131560889.0355259</v>
      </c>
      <c r="BB13" s="11">
        <f t="shared" ca="1" si="1"/>
        <v>138380295.72033033</v>
      </c>
      <c r="BC13" s="11">
        <f t="shared" ca="1" si="1"/>
        <v>152609638.81596532</v>
      </c>
      <c r="BD13" s="11">
        <f t="shared" ca="1" si="1"/>
        <v>169092055.76067761</v>
      </c>
      <c r="BE13" s="11">
        <f t="shared" ca="1" si="1"/>
        <v>176366212.33554223</v>
      </c>
      <c r="BF13" s="11">
        <f t="shared" ca="1" si="1"/>
        <v>195053534.93091604</v>
      </c>
      <c r="BG13" s="11">
        <f t="shared" ca="1" si="1"/>
        <v>215918740.49433768</v>
      </c>
      <c r="BH13" s="11">
        <f t="shared" ca="1" si="1"/>
        <v>227831086.05100104</v>
      </c>
      <c r="BI13" s="11">
        <f t="shared" ca="1" si="1"/>
        <v>226204622.19156826</v>
      </c>
      <c r="BJ13" s="11">
        <f t="shared" ca="1" si="1"/>
        <v>251376068.41005829</v>
      </c>
      <c r="BK13" s="11">
        <f t="shared" ca="1" si="1"/>
        <v>264813228.27268738</v>
      </c>
      <c r="BL13" s="11">
        <f t="shared" ca="1" si="1"/>
        <v>291881615.1468361</v>
      </c>
      <c r="BM13" s="11">
        <f t="shared" ca="1" si="1"/>
        <v>321121311.08017266</v>
      </c>
      <c r="BN13" s="11">
        <f t="shared" ca="1" si="1"/>
        <v>336412837.19385707</v>
      </c>
      <c r="BO13" s="11">
        <f t="shared" ca="1" si="1"/>
        <v>367479439.15008116</v>
      </c>
      <c r="BP13" s="11">
        <f t="shared" ca="1" si="1"/>
        <v>400574188.80445975</v>
      </c>
      <c r="BQ13" s="11">
        <f t="shared" ca="1" si="1"/>
        <v>419383336.21187401</v>
      </c>
    </row>
    <row r="15" spans="1:69">
      <c r="B15" s="25" t="s">
        <v>322</v>
      </c>
    </row>
    <row r="16" spans="1:69" outlineLevel="1">
      <c r="A16" s="18"/>
      <c r="B16" s="18"/>
      <c r="C16" s="28"/>
      <c r="D16" s="27"/>
      <c r="E16" s="4" t="str">
        <f xml:space="preserve">  InpC!E$35</f>
        <v>Supplier price per unit</v>
      </c>
      <c r="F16" s="4">
        <f xml:space="preserve">  InpC!F$35</f>
        <v>35</v>
      </c>
      <c r="G16" s="4" t="str">
        <f xml:space="preserve">  InpC!G$35</f>
        <v>GBP</v>
      </c>
      <c r="M16" s="2"/>
    </row>
    <row r="17" spans="1:69" outlineLevel="1">
      <c r="A17" s="18"/>
      <c r="B17" s="18"/>
      <c r="C17" s="28"/>
      <c r="D17" s="27"/>
      <c r="E17" s="4" t="str">
        <f xml:space="preserve">  Inventory!E$33</f>
        <v>Units ordered</v>
      </c>
      <c r="F17" s="4">
        <f xml:space="preserve">  Inventory!F$33</f>
        <v>0</v>
      </c>
      <c r="G17" s="4" t="str">
        <f xml:space="preserve">  Inventory!G$33</f>
        <v>Units</v>
      </c>
      <c r="H17" s="4">
        <f ca="1" xml:space="preserve">  Inventory!H$33</f>
        <v>1650000</v>
      </c>
      <c r="I17" s="4">
        <f xml:space="preserve">  Inventory!I$33</f>
        <v>0</v>
      </c>
      <c r="J17" s="4">
        <f xml:space="preserve">  Inventory!J$33</f>
        <v>0</v>
      </c>
      <c r="K17" s="4">
        <f xml:space="preserve">  Inventory!K$33</f>
        <v>0</v>
      </c>
      <c r="L17" s="4">
        <f xml:space="preserve">  Inventory!L$33</f>
        <v>10000</v>
      </c>
      <c r="M17" s="4">
        <f xml:space="preserve">  Inventory!M$33</f>
        <v>10000</v>
      </c>
      <c r="N17" s="4">
        <f xml:space="preserve">  Inventory!N$33</f>
        <v>10000</v>
      </c>
      <c r="O17" s="4">
        <f xml:space="preserve">  Inventory!O$33</f>
        <v>0</v>
      </c>
      <c r="P17" s="4">
        <f xml:space="preserve">  Inventory!P$33</f>
        <v>10000</v>
      </c>
      <c r="Q17" s="4">
        <f xml:space="preserve">  Inventory!Q$33</f>
        <v>0</v>
      </c>
      <c r="R17" s="4">
        <f xml:space="preserve">  Inventory!R$33</f>
        <v>10000</v>
      </c>
      <c r="S17" s="4">
        <f xml:space="preserve">  Inventory!S$33</f>
        <v>0</v>
      </c>
      <c r="T17" s="4">
        <f xml:space="preserve">  Inventory!T$33</f>
        <v>0</v>
      </c>
      <c r="U17" s="4">
        <f xml:space="preserve">  Inventory!U$33</f>
        <v>0</v>
      </c>
      <c r="V17" s="4">
        <f ca="1" xml:space="preserve">  Inventory!V$33</f>
        <v>0</v>
      </c>
      <c r="W17" s="4">
        <f ca="1" xml:space="preserve">  Inventory!W$33</f>
        <v>0</v>
      </c>
      <c r="X17" s="4">
        <f ca="1" xml:space="preserve">  Inventory!X$33</f>
        <v>5000</v>
      </c>
      <c r="Y17" s="4">
        <f ca="1" xml:space="preserve">  Inventory!Y$33</f>
        <v>5000</v>
      </c>
      <c r="Z17" s="4">
        <f ca="1" xml:space="preserve">  Inventory!Z$33</f>
        <v>5000</v>
      </c>
      <c r="AA17" s="4">
        <f ca="1" xml:space="preserve">  Inventory!AA$33</f>
        <v>10000</v>
      </c>
      <c r="AB17" s="4">
        <f ca="1" xml:space="preserve">  Inventory!AB$33</f>
        <v>5000</v>
      </c>
      <c r="AC17" s="4">
        <f ca="1" xml:space="preserve">  Inventory!AC$33</f>
        <v>10000</v>
      </c>
      <c r="AD17" s="4">
        <f ca="1" xml:space="preserve">  Inventory!AD$33</f>
        <v>5000</v>
      </c>
      <c r="AE17" s="4">
        <f ca="1" xml:space="preserve">  Inventory!AE$33</f>
        <v>10000</v>
      </c>
      <c r="AF17" s="4">
        <f ca="1" xml:space="preserve">  Inventory!AF$33</f>
        <v>10000</v>
      </c>
      <c r="AG17" s="4">
        <f ca="1" xml:space="preserve">  Inventory!AG$33</f>
        <v>10000</v>
      </c>
      <c r="AH17" s="4">
        <f ca="1" xml:space="preserve">  Inventory!AH$33</f>
        <v>10000</v>
      </c>
      <c r="AI17" s="4">
        <f ca="1" xml:space="preserve">  Inventory!AI$33</f>
        <v>15000</v>
      </c>
      <c r="AJ17" s="4">
        <f ca="1" xml:space="preserve">  Inventory!AJ$33</f>
        <v>10000</v>
      </c>
      <c r="AK17" s="4">
        <f ca="1" xml:space="preserve">  Inventory!AK$33</f>
        <v>15000</v>
      </c>
      <c r="AL17" s="4">
        <f ca="1" xml:space="preserve">  Inventory!AL$33</f>
        <v>15000</v>
      </c>
      <c r="AM17" s="4">
        <f ca="1" xml:space="preserve">  Inventory!AM$33</f>
        <v>20000</v>
      </c>
      <c r="AN17" s="4">
        <f ca="1" xml:space="preserve">  Inventory!AN$33</f>
        <v>15000</v>
      </c>
      <c r="AO17" s="4">
        <f ca="1" xml:space="preserve">  Inventory!AO$33</f>
        <v>20000</v>
      </c>
      <c r="AP17" s="4">
        <f ca="1" xml:space="preserve">  Inventory!AP$33</f>
        <v>25000</v>
      </c>
      <c r="AQ17" s="4">
        <f ca="1" xml:space="preserve">  Inventory!AQ$33</f>
        <v>20000</v>
      </c>
      <c r="AR17" s="4">
        <f ca="1" xml:space="preserve">  Inventory!AR$33</f>
        <v>25000</v>
      </c>
      <c r="AS17" s="4">
        <f ca="1" xml:space="preserve">  Inventory!AS$33</f>
        <v>25000</v>
      </c>
      <c r="AT17" s="4">
        <f ca="1" xml:space="preserve">  Inventory!AT$33</f>
        <v>25000</v>
      </c>
      <c r="AU17" s="4">
        <f ca="1" xml:space="preserve">  Inventory!AU$33</f>
        <v>25000</v>
      </c>
      <c r="AV17" s="4">
        <f ca="1" xml:space="preserve">  Inventory!AV$33</f>
        <v>30000</v>
      </c>
      <c r="AW17" s="4">
        <f ca="1" xml:space="preserve">  Inventory!AW$33</f>
        <v>30000</v>
      </c>
      <c r="AX17" s="4">
        <f ca="1" xml:space="preserve">  Inventory!AX$33</f>
        <v>35000</v>
      </c>
      <c r="AY17" s="4">
        <f ca="1" xml:space="preserve">  Inventory!AY$33</f>
        <v>35000</v>
      </c>
      <c r="AZ17" s="4">
        <f ca="1" xml:space="preserve">  Inventory!AZ$33</f>
        <v>35000</v>
      </c>
      <c r="BA17" s="4">
        <f ca="1" xml:space="preserve">  Inventory!BA$33</f>
        <v>40000</v>
      </c>
      <c r="BB17" s="4">
        <f ca="1" xml:space="preserve">  Inventory!BB$33</f>
        <v>40000</v>
      </c>
      <c r="BC17" s="4">
        <f ca="1" xml:space="preserve">  Inventory!BC$33</f>
        <v>45000</v>
      </c>
      <c r="BD17" s="4">
        <f ca="1" xml:space="preserve">  Inventory!BD$33</f>
        <v>45000</v>
      </c>
      <c r="BE17" s="4">
        <f ca="1" xml:space="preserve">  Inventory!BE$33</f>
        <v>50000</v>
      </c>
      <c r="BF17" s="4">
        <f ca="1" xml:space="preserve">  Inventory!BF$33</f>
        <v>50000</v>
      </c>
      <c r="BG17" s="4">
        <f ca="1" xml:space="preserve">  Inventory!BG$33</f>
        <v>55000</v>
      </c>
      <c r="BH17" s="4">
        <f ca="1" xml:space="preserve">  Inventory!BH$33</f>
        <v>60000</v>
      </c>
      <c r="BI17" s="4">
        <f ca="1" xml:space="preserve">  Inventory!BI$33</f>
        <v>60000</v>
      </c>
      <c r="BJ17" s="4">
        <f ca="1" xml:space="preserve">  Inventory!BJ$33</f>
        <v>65000</v>
      </c>
      <c r="BK17" s="4">
        <f ca="1" xml:space="preserve">  Inventory!BK$33</f>
        <v>70000</v>
      </c>
      <c r="BL17" s="4">
        <f ca="1" xml:space="preserve">  Inventory!BL$33</f>
        <v>75000</v>
      </c>
      <c r="BM17" s="4">
        <f ca="1" xml:space="preserve">  Inventory!BM$33</f>
        <v>75000</v>
      </c>
      <c r="BN17" s="4">
        <f ca="1" xml:space="preserve">  Inventory!BN$33</f>
        <v>85000</v>
      </c>
      <c r="BO17" s="4">
        <f ca="1" xml:space="preserve">  Inventory!BO$33</f>
        <v>85000</v>
      </c>
      <c r="BP17" s="4">
        <f ca="1" xml:space="preserve">  Inventory!BP$33</f>
        <v>95000</v>
      </c>
      <c r="BQ17" s="4">
        <f ca="1" xml:space="preserve">  Inventory!BQ$33</f>
        <v>100000</v>
      </c>
    </row>
    <row r="18" spans="1:69" outlineLevel="1">
      <c r="A18" s="34"/>
      <c r="B18" s="34"/>
      <c r="C18" s="64"/>
      <c r="D18" s="65"/>
      <c r="E18" s="21" t="s">
        <v>322</v>
      </c>
      <c r="F18" s="21"/>
      <c r="G18" s="21" t="s">
        <v>257</v>
      </c>
      <c r="H18" s="3">
        <f ca="1" xml:space="preserve"> SUM( J18:BQ18 )</f>
        <v>57750000</v>
      </c>
      <c r="I18" s="21"/>
      <c r="J18" s="3">
        <f t="shared" ref="J18:BQ18" si="2" xml:space="preserve">  J17 * $F16</f>
        <v>0</v>
      </c>
      <c r="K18" s="3">
        <f t="shared" si="2"/>
        <v>0</v>
      </c>
      <c r="L18" s="3">
        <f t="shared" si="2"/>
        <v>350000</v>
      </c>
      <c r="M18" s="3">
        <f t="shared" si="2"/>
        <v>350000</v>
      </c>
      <c r="N18" s="3">
        <f t="shared" si="2"/>
        <v>350000</v>
      </c>
      <c r="O18" s="3">
        <f t="shared" si="2"/>
        <v>0</v>
      </c>
      <c r="P18" s="3">
        <f t="shared" si="2"/>
        <v>350000</v>
      </c>
      <c r="Q18" s="3">
        <f t="shared" si="2"/>
        <v>0</v>
      </c>
      <c r="R18" s="3">
        <f t="shared" si="2"/>
        <v>350000</v>
      </c>
      <c r="S18" s="3">
        <f t="shared" si="2"/>
        <v>0</v>
      </c>
      <c r="T18" s="3">
        <f t="shared" si="2"/>
        <v>0</v>
      </c>
      <c r="U18" s="3">
        <f t="shared" si="2"/>
        <v>0</v>
      </c>
      <c r="V18" s="3">
        <f t="shared" ca="1" si="2"/>
        <v>0</v>
      </c>
      <c r="W18" s="3">
        <f t="shared" ca="1" si="2"/>
        <v>0</v>
      </c>
      <c r="X18" s="3">
        <f t="shared" ca="1" si="2"/>
        <v>175000</v>
      </c>
      <c r="Y18" s="3">
        <f t="shared" ca="1" si="2"/>
        <v>175000</v>
      </c>
      <c r="Z18" s="3">
        <f t="shared" ca="1" si="2"/>
        <v>175000</v>
      </c>
      <c r="AA18" s="3">
        <f t="shared" ca="1" si="2"/>
        <v>350000</v>
      </c>
      <c r="AB18" s="3">
        <f t="shared" ca="1" si="2"/>
        <v>175000</v>
      </c>
      <c r="AC18" s="3">
        <f t="shared" ca="1" si="2"/>
        <v>350000</v>
      </c>
      <c r="AD18" s="3">
        <f t="shared" ca="1" si="2"/>
        <v>175000</v>
      </c>
      <c r="AE18" s="3">
        <f t="shared" ca="1" si="2"/>
        <v>350000</v>
      </c>
      <c r="AF18" s="3">
        <f t="shared" ca="1" si="2"/>
        <v>350000</v>
      </c>
      <c r="AG18" s="3">
        <f t="shared" ca="1" si="2"/>
        <v>350000</v>
      </c>
      <c r="AH18" s="3">
        <f t="shared" ca="1" si="2"/>
        <v>350000</v>
      </c>
      <c r="AI18" s="3">
        <f t="shared" ca="1" si="2"/>
        <v>525000</v>
      </c>
      <c r="AJ18" s="3">
        <f t="shared" ca="1" si="2"/>
        <v>350000</v>
      </c>
      <c r="AK18" s="3">
        <f t="shared" ca="1" si="2"/>
        <v>525000</v>
      </c>
      <c r="AL18" s="3">
        <f t="shared" ca="1" si="2"/>
        <v>525000</v>
      </c>
      <c r="AM18" s="3">
        <f t="shared" ca="1" si="2"/>
        <v>700000</v>
      </c>
      <c r="AN18" s="3">
        <f t="shared" ca="1" si="2"/>
        <v>525000</v>
      </c>
      <c r="AO18" s="3">
        <f t="shared" ca="1" si="2"/>
        <v>700000</v>
      </c>
      <c r="AP18" s="3">
        <f t="shared" ca="1" si="2"/>
        <v>875000</v>
      </c>
      <c r="AQ18" s="3">
        <f t="shared" ca="1" si="2"/>
        <v>700000</v>
      </c>
      <c r="AR18" s="3">
        <f t="shared" ca="1" si="2"/>
        <v>875000</v>
      </c>
      <c r="AS18" s="3">
        <f t="shared" ca="1" si="2"/>
        <v>875000</v>
      </c>
      <c r="AT18" s="3">
        <f t="shared" ca="1" si="2"/>
        <v>875000</v>
      </c>
      <c r="AU18" s="3">
        <f t="shared" ca="1" si="2"/>
        <v>875000</v>
      </c>
      <c r="AV18" s="3">
        <f t="shared" ca="1" si="2"/>
        <v>1050000</v>
      </c>
      <c r="AW18" s="3">
        <f t="shared" ca="1" si="2"/>
        <v>1050000</v>
      </c>
      <c r="AX18" s="3">
        <f t="shared" ca="1" si="2"/>
        <v>1225000</v>
      </c>
      <c r="AY18" s="3">
        <f t="shared" ca="1" si="2"/>
        <v>1225000</v>
      </c>
      <c r="AZ18" s="3">
        <f t="shared" ca="1" si="2"/>
        <v>1225000</v>
      </c>
      <c r="BA18" s="3">
        <f t="shared" ca="1" si="2"/>
        <v>1400000</v>
      </c>
      <c r="BB18" s="3">
        <f t="shared" ca="1" si="2"/>
        <v>1400000</v>
      </c>
      <c r="BC18" s="3">
        <f t="shared" ca="1" si="2"/>
        <v>1575000</v>
      </c>
      <c r="BD18" s="3">
        <f t="shared" ca="1" si="2"/>
        <v>1575000</v>
      </c>
      <c r="BE18" s="3">
        <f t="shared" ca="1" si="2"/>
        <v>1750000</v>
      </c>
      <c r="BF18" s="3">
        <f t="shared" ca="1" si="2"/>
        <v>1750000</v>
      </c>
      <c r="BG18" s="3">
        <f t="shared" ca="1" si="2"/>
        <v>1925000</v>
      </c>
      <c r="BH18" s="3">
        <f t="shared" ca="1" si="2"/>
        <v>2100000</v>
      </c>
      <c r="BI18" s="3">
        <f t="shared" ca="1" si="2"/>
        <v>2100000</v>
      </c>
      <c r="BJ18" s="3">
        <f t="shared" ca="1" si="2"/>
        <v>2275000</v>
      </c>
      <c r="BK18" s="3">
        <f t="shared" ca="1" si="2"/>
        <v>2450000</v>
      </c>
      <c r="BL18" s="3">
        <f t="shared" ca="1" si="2"/>
        <v>2625000</v>
      </c>
      <c r="BM18" s="3">
        <f t="shared" ca="1" si="2"/>
        <v>2625000</v>
      </c>
      <c r="BN18" s="3">
        <f t="shared" ca="1" si="2"/>
        <v>2975000</v>
      </c>
      <c r="BO18" s="3">
        <f t="shared" ca="1" si="2"/>
        <v>2975000</v>
      </c>
      <c r="BP18" s="3">
        <f t="shared" ca="1" si="2"/>
        <v>3325000</v>
      </c>
      <c r="BQ18" s="3">
        <f t="shared" ca="1" si="2"/>
        <v>3500000</v>
      </c>
    </row>
    <row r="21" spans="1:69">
      <c r="B21" s="25" t="s">
        <v>284</v>
      </c>
    </row>
    <row r="22" spans="1:69" outlineLevel="1">
      <c r="A22" s="18"/>
      <c r="B22" s="18"/>
      <c r="C22" s="28"/>
      <c r="D22" s="27"/>
      <c r="E22" s="4" t="str">
        <f xml:space="preserve">  'Balance Sheet'!E$12</f>
        <v>Assets</v>
      </c>
      <c r="F22" s="4">
        <f xml:space="preserve">  'Balance Sheet'!F$12</f>
        <v>0</v>
      </c>
      <c r="G22" s="4" t="str">
        <f xml:space="preserve">  'Balance Sheet'!G$12</f>
        <v>GBP</v>
      </c>
      <c r="H22" s="4">
        <f xml:space="preserve">  'Balance Sheet'!H$12</f>
        <v>0</v>
      </c>
      <c r="I22" s="4">
        <f xml:space="preserve">  'Balance Sheet'!I$12</f>
        <v>0</v>
      </c>
      <c r="J22" s="4">
        <f ca="1" xml:space="preserve">  'Balance Sheet'!J$12</f>
        <v>-73700</v>
      </c>
      <c r="K22" s="4">
        <f ca="1" xml:space="preserve">  'Balance Sheet'!K$12</f>
        <v>-154691.66666666666</v>
      </c>
      <c r="L22" s="4">
        <f ca="1" xml:space="preserve">  'Balance Sheet'!L$12</f>
        <v>1045300</v>
      </c>
      <c r="M22" s="4">
        <f ca="1" xml:space="preserve">  'Balance Sheet'!M$12</f>
        <v>1727223.0241301865</v>
      </c>
      <c r="N22" s="4">
        <f ca="1" xml:space="preserve">  'Balance Sheet'!N$12</f>
        <v>2316746.0482603731</v>
      </c>
      <c r="O22" s="4">
        <f ca="1" xml:space="preserve">  'Balance Sheet'!O$12</f>
        <v>2534723.9770941623</v>
      </c>
      <c r="P22" s="4">
        <f ca="1" xml:space="preserve">  'Balance Sheet'!P$12</f>
        <v>5124978.7677966598</v>
      </c>
      <c r="Q22" s="4">
        <f ca="1" xml:space="preserve">  'Balance Sheet'!Q$12</f>
        <v>6355250.2251658235</v>
      </c>
      <c r="R22" s="4">
        <f ca="1" xml:space="preserve">  'Balance Sheet'!R$12</f>
        <v>6415111.9002136067</v>
      </c>
      <c r="S22" s="4">
        <f ca="1" xml:space="preserve">  'Balance Sheet'!S$12</f>
        <v>5824098.4713064879</v>
      </c>
      <c r="T22" s="4">
        <f ca="1" xml:space="preserve">  'Balance Sheet'!T$12</f>
        <v>10273085.042399369</v>
      </c>
      <c r="U22" s="4">
        <f ca="1" xml:space="preserve">  'Balance Sheet'!U$12</f>
        <v>9094484.98322968</v>
      </c>
      <c r="V22" s="4">
        <f ca="1" xml:space="preserve">  'Balance Sheet'!V$12</f>
        <v>13499874.008432683</v>
      </c>
      <c r="W22" s="4">
        <f ca="1" xml:space="preserve">  'Balance Sheet'!W$12</f>
        <v>17326557.273058642</v>
      </c>
      <c r="X22" s="4">
        <f ca="1" xml:space="preserve">  'Balance Sheet'!X$12</f>
        <v>17181369.520276405</v>
      </c>
      <c r="Y22" s="4">
        <f ca="1" xml:space="preserve">  'Balance Sheet'!Y$12</f>
        <v>21224206.169618681</v>
      </c>
      <c r="Z22" s="4">
        <f ca="1" xml:space="preserve">  'Balance Sheet'!Z$12</f>
        <v>21511199.67867665</v>
      </c>
      <c r="AA22" s="4">
        <f ca="1" xml:space="preserve">  'Balance Sheet'!AA$12</f>
        <v>20710724.923102356</v>
      </c>
      <c r="AB22" s="4">
        <f ca="1" xml:space="preserve">  'Balance Sheet'!AB$12</f>
        <v>22902458.372612521</v>
      </c>
      <c r="AC22" s="4">
        <f ca="1" xml:space="preserve">  'Balance Sheet'!AC$12</f>
        <v>24195402.780543208</v>
      </c>
      <c r="AD22" s="4">
        <f ca="1" xml:space="preserve">  'Balance Sheet'!AD$12</f>
        <v>24200545.93042808</v>
      </c>
      <c r="AE22" s="4">
        <f ca="1" xml:space="preserve">  'Balance Sheet'!AE$12</f>
        <v>26294228.267442714</v>
      </c>
      <c r="AF22" s="4">
        <f ca="1" xml:space="preserve">  'Balance Sheet'!AF$12</f>
        <v>33396144.213112582</v>
      </c>
      <c r="AG22" s="4">
        <f ca="1" xml:space="preserve">  'Balance Sheet'!AG$12</f>
        <v>33718722.073989332</v>
      </c>
      <c r="AH22" s="4">
        <f ca="1" xml:space="preserve">  'Balance Sheet'!AH$12</f>
        <v>43223017.2306142</v>
      </c>
      <c r="AI22" s="4">
        <f ca="1" xml:space="preserve">  'Balance Sheet'!AI$12</f>
        <v>49289720.534966215</v>
      </c>
      <c r="AJ22" s="4">
        <f ca="1" xml:space="preserve">  'Balance Sheet'!AJ$12</f>
        <v>51711501.334699281</v>
      </c>
      <c r="AK22" s="4">
        <f ca="1" xml:space="preserve">  'Balance Sheet'!AK$12</f>
        <v>54011039.173685908</v>
      </c>
      <c r="AL22" s="4">
        <f ca="1" xml:space="preserve">  'Balance Sheet'!AL$12</f>
        <v>58274471.930600643</v>
      </c>
      <c r="AM22" s="4">
        <f ca="1" xml:space="preserve">  'Balance Sheet'!AM$12</f>
        <v>59932094.580940858</v>
      </c>
      <c r="AN22" s="4">
        <f ca="1" xml:space="preserve">  'Balance Sheet'!AN$12</f>
        <v>64026014.085911632</v>
      </c>
      <c r="AO22" s="4">
        <f ca="1" xml:space="preserve">  'Balance Sheet'!AO$12</f>
        <v>67960903.841056794</v>
      </c>
      <c r="AP22" s="4">
        <f ca="1" xml:space="preserve">  'Balance Sheet'!AP$12</f>
        <v>72746708.110895067</v>
      </c>
      <c r="AQ22" s="4">
        <f ca="1" xml:space="preserve">  'Balance Sheet'!AQ$12</f>
        <v>79089061.461089179</v>
      </c>
      <c r="AR22" s="4">
        <f ca="1" xml:space="preserve">  'Balance Sheet'!AR$12</f>
        <v>88017673.695260435</v>
      </c>
      <c r="AS22" s="4">
        <f ca="1" xml:space="preserve">  'Balance Sheet'!AS$12</f>
        <v>93306683.703032091</v>
      </c>
      <c r="AT22" s="4">
        <f ca="1" xml:space="preserve">  'Balance Sheet'!AT$12</f>
        <v>107118830.87197195</v>
      </c>
      <c r="AU22" s="4">
        <f ca="1" xml:space="preserve">  'Balance Sheet'!AU$12</f>
        <v>115651228.10999875</v>
      </c>
      <c r="AV22" s="4">
        <f ca="1" xml:space="preserve">  'Balance Sheet'!AV$12</f>
        <v>124084921.41513824</v>
      </c>
      <c r="AW22" s="4">
        <f ca="1" xml:space="preserve">  'Balance Sheet'!AW$12</f>
        <v>128148255.95420748</v>
      </c>
      <c r="AX22" s="4">
        <f ca="1" xml:space="preserve">  'Balance Sheet'!AX$12</f>
        <v>141515916.19433734</v>
      </c>
      <c r="AY22" s="4">
        <f ca="1" xml:space="preserve">  'Balance Sheet'!AY$12</f>
        <v>150791523.37844729</v>
      </c>
      <c r="AZ22" s="4">
        <f ca="1" xml:space="preserve">  'Balance Sheet'!AZ$12</f>
        <v>166440372.56869254</v>
      </c>
      <c r="BA22" s="4">
        <f ca="1" xml:space="preserve">  'Balance Sheet'!BA$12</f>
        <v>182092634.77763391</v>
      </c>
      <c r="BB22" s="4">
        <f ca="1" xml:space="preserve">  'Balance Sheet'!BB$12</f>
        <v>192402313.02907446</v>
      </c>
      <c r="BC22" s="4">
        <f ca="1" xml:space="preserve">  'Balance Sheet'!BC$12</f>
        <v>210272732.43073469</v>
      </c>
      <c r="BD22" s="4">
        <f ca="1" xml:space="preserve">  'Balance Sheet'!BD$12</f>
        <v>230358176.28777844</v>
      </c>
      <c r="BE22" s="4">
        <f ca="1" xml:space="preserve">  'Balance Sheet'!BE$12</f>
        <v>243900374.60870111</v>
      </c>
      <c r="BF22" s="4">
        <f ca="1" xml:space="preserve">  'Balance Sheet'!BF$12</f>
        <v>268819280.61679965</v>
      </c>
      <c r="BG22" s="4">
        <f ca="1" xml:space="preserve">  'Balance Sheet'!BG$12</f>
        <v>291016790.92973876</v>
      </c>
      <c r="BH22" s="4">
        <f ca="1" xml:space="preserve">  'Balance Sheet'!BH$12</f>
        <v>306923081.30745745</v>
      </c>
      <c r="BI22" s="4">
        <f ca="1" xml:space="preserve">  'Balance Sheet'!BI$12</f>
        <v>314283592.3728404</v>
      </c>
      <c r="BJ22" s="4">
        <f ca="1" xml:space="preserve">  'Balance Sheet'!BJ$12</f>
        <v>343538366.53145719</v>
      </c>
      <c r="BK22" s="4">
        <f ca="1" xml:space="preserve">  'Balance Sheet'!BK$12</f>
        <v>361191633.24875301</v>
      </c>
      <c r="BL22" s="4">
        <f ca="1" xml:space="preserve">  'Balance Sheet'!BL$12</f>
        <v>395130063.42535305</v>
      </c>
      <c r="BM22" s="4">
        <f ca="1" xml:space="preserve">  'Balance Sheet'!BM$12</f>
        <v>428665382.13934541</v>
      </c>
      <c r="BN22" s="4">
        <f ca="1" xml:space="preserve">  'Balance Sheet'!BN$12</f>
        <v>448559326.46569347</v>
      </c>
      <c r="BO22" s="4">
        <f ca="1" xml:space="preserve">  'Balance Sheet'!BO$12</f>
        <v>489211935.28002608</v>
      </c>
      <c r="BP22" s="4">
        <f ca="1" xml:space="preserve">  'Balance Sheet'!BP$12</f>
        <v>529675030.50512564</v>
      </c>
      <c r="BQ22" s="4">
        <f ca="1" xml:space="preserve">  'Balance Sheet'!BQ$12</f>
        <v>555966823.98404741</v>
      </c>
    </row>
    <row r="23" spans="1:69" outlineLevel="1">
      <c r="A23" s="18"/>
      <c r="B23" s="18"/>
      <c r="C23" s="28"/>
      <c r="D23" s="27"/>
      <c r="E23" s="4" t="str">
        <f xml:space="preserve">  'Balance Sheet'!E$21</f>
        <v>Liabilities</v>
      </c>
      <c r="F23" s="4">
        <f xml:space="preserve">  'Balance Sheet'!F$21</f>
        <v>0</v>
      </c>
      <c r="G23" s="4" t="str">
        <f xml:space="preserve">  'Balance Sheet'!G$21</f>
        <v>GBP</v>
      </c>
      <c r="H23" s="4">
        <f xml:space="preserve">  'Balance Sheet'!H$21</f>
        <v>0</v>
      </c>
      <c r="I23" s="4">
        <f xml:space="preserve">  'Balance Sheet'!I$21</f>
        <v>0</v>
      </c>
      <c r="J23" s="4">
        <f ca="1" xml:space="preserve">  'Balance Sheet'!J$21</f>
        <v>-6700</v>
      </c>
      <c r="K23" s="4">
        <f ca="1" xml:space="preserve">  'Balance Sheet'!K$21</f>
        <v>-13400</v>
      </c>
      <c r="L23" s="4">
        <f ca="1" xml:space="preserve">  'Balance Sheet'!L$21</f>
        <v>1176300</v>
      </c>
      <c r="M23" s="4">
        <f ca="1" xml:space="preserve">  'Balance Sheet'!M$21</f>
        <v>1813539.2143148654</v>
      </c>
      <c r="N23" s="4">
        <f ca="1" xml:space="preserve">  'Balance Sheet'!N$21</f>
        <v>2407378.4286297308</v>
      </c>
      <c r="O23" s="4">
        <f ca="1" xml:space="preserve">  'Balance Sheet'!O$21</f>
        <v>2623839.2143148654</v>
      </c>
      <c r="P23" s="4">
        <f ca="1" xml:space="preserve">  'Balance Sheet'!P$21</f>
        <v>5060205.3522138307</v>
      </c>
      <c r="Q23" s="4">
        <f ca="1" xml:space="preserve">  'Balance Sheet'!Q$21</f>
        <v>6137336.2042236021</v>
      </c>
      <c r="R23" s="4">
        <f ca="1" xml:space="preserve">  'Balance Sheet'!R$21</f>
        <v>5973473.94057866</v>
      </c>
      <c r="S23" s="4">
        <f ca="1" xml:space="preserve">  'Balance Sheet'!S$21</f>
        <v>5188413.4599676281</v>
      </c>
      <c r="T23" s="4">
        <f ca="1" xml:space="preserve">  'Balance Sheet'!T$21</f>
        <v>9163352.9793565962</v>
      </c>
      <c r="U23" s="4">
        <f ca="1" xml:space="preserve">  'Balance Sheet'!U$21</f>
        <v>7525289.2018163269</v>
      </c>
      <c r="V23" s="4">
        <f ca="1" xml:space="preserve">  'Balance Sheet'!V$21</f>
        <v>11216293.026871692</v>
      </c>
      <c r="W23" s="4">
        <f ca="1" xml:space="preserve">  'Balance Sheet'!W$21</f>
        <v>14106850.082403323</v>
      </c>
      <c r="X23" s="4">
        <f ca="1" xml:space="preserve">  'Balance Sheet'!X$21</f>
        <v>12996365.791608211</v>
      </c>
      <c r="Y23" s="4">
        <f ca="1" xml:space="preserve">  'Balance Sheet'!Y$21</f>
        <v>15810364.439656546</v>
      </c>
      <c r="Z23" s="4">
        <f ca="1" xml:space="preserve">  'Balance Sheet'!Z$21</f>
        <v>14877064.822612792</v>
      </c>
      <c r="AA23" s="4">
        <f ca="1" xml:space="preserve">  'Balance Sheet'!AA$21</f>
        <v>12862340.057248229</v>
      </c>
      <c r="AB23" s="4">
        <f ca="1" xml:space="preserve">  'Balance Sheet'!AB$21</f>
        <v>13861790.08893282</v>
      </c>
      <c r="AC23" s="4">
        <f ca="1" xml:space="preserve">  'Balance Sheet'!AC$21</f>
        <v>13970127.200186644</v>
      </c>
      <c r="AD23" s="4">
        <f ca="1" xml:space="preserve">  'Balance Sheet'!AD$21</f>
        <v>12821104.205522573</v>
      </c>
      <c r="AE23" s="4">
        <f ca="1" xml:space="preserve">  'Balance Sheet'!AE$21</f>
        <v>13637983.47925384</v>
      </c>
      <c r="AF23" s="4">
        <f ca="1" xml:space="preserve">  'Balance Sheet'!AF$21</f>
        <v>19348187.828072894</v>
      </c>
      <c r="AG23" s="4">
        <f ca="1" xml:space="preserve">  'Balance Sheet'!AG$21</f>
        <v>18172495.656371117</v>
      </c>
      <c r="AH23" s="4">
        <f ca="1" xml:space="preserve">  'Balance Sheet'!AH$21</f>
        <v>25984587.517268807</v>
      </c>
      <c r="AI23" s="4">
        <f ca="1" xml:space="preserve">  'Balance Sheet'!AI$21</f>
        <v>30274088.50775421</v>
      </c>
      <c r="AJ23" s="4">
        <f ca="1" xml:space="preserve">  'Balance Sheet'!AJ$21</f>
        <v>30702218.336029626</v>
      </c>
      <c r="AK23" s="4">
        <f ca="1" xml:space="preserve">  'Balance Sheet'!AK$21</f>
        <v>30926286.332236793</v>
      </c>
      <c r="AL23" s="4">
        <f ca="1" xml:space="preserve">  'Balance Sheet'!AL$21</f>
        <v>33017026.964608528</v>
      </c>
      <c r="AM23" s="4">
        <f ca="1" xml:space="preserve">  'Balance Sheet'!AM$21</f>
        <v>32335543.723028623</v>
      </c>
      <c r="AN23" s="4">
        <f ca="1" xml:space="preserve">  'Balance Sheet'!AN$21</f>
        <v>33940714.95165702</v>
      </c>
      <c r="AO23" s="4">
        <f ca="1" xml:space="preserve">  'Balance Sheet'!AO$21</f>
        <v>35347480.33942388</v>
      </c>
      <c r="AP23" s="4">
        <f ca="1" xml:space="preserve">  'Balance Sheet'!AP$21</f>
        <v>37356875.879473031</v>
      </c>
      <c r="AQ23" s="4">
        <f ca="1" xml:space="preserve">  'Balance Sheet'!AQ$21</f>
        <v>40838915.429525971</v>
      </c>
      <c r="AR23" s="4">
        <f ca="1" xml:space="preserve">  'Balance Sheet'!AR$21</f>
        <v>46670105.129754491</v>
      </c>
      <c r="AS23" s="4">
        <f ca="1" xml:space="preserve">  'Balance Sheet'!AS$21</f>
        <v>48641284.065461338</v>
      </c>
      <c r="AT23" s="4">
        <f ca="1" xml:space="preserve">  'Balance Sheet'!AT$21</f>
        <v>58788069.490200698</v>
      </c>
      <c r="AU23" s="4">
        <f ca="1" xml:space="preserve">  'Balance Sheet'!AU$21</f>
        <v>63465551.824618965</v>
      </c>
      <c r="AV23" s="4">
        <f ca="1" xml:space="preserve">  'Balance Sheet'!AV$21</f>
        <v>67726745.808716714</v>
      </c>
      <c r="AW23" s="4">
        <f ca="1" xml:space="preserve">  'Balance Sheet'!AW$21</f>
        <v>67173323.889535755</v>
      </c>
      <c r="AX23" s="4">
        <f ca="1" xml:space="preserve">  'Balance Sheet'!AX$21</f>
        <v>75632758.153023079</v>
      </c>
      <c r="AY23" s="4">
        <f ca="1" xml:space="preserve">  'Balance Sheet'!AY$21</f>
        <v>79590194.821878806</v>
      </c>
      <c r="AZ23" s="4">
        <f ca="1" xml:space="preserve">  'Balance Sheet'!AZ$21</f>
        <v>89526671.184575558</v>
      </c>
      <c r="BA23" s="4">
        <f ca="1" xml:space="preserve">  'Balance Sheet'!BA$21</f>
        <v>99080380.384437114</v>
      </c>
      <c r="BB23" s="4">
        <f ca="1" xml:space="preserve">  'Balance Sheet'!BB$21</f>
        <v>102936835.13582511</v>
      </c>
      <c r="BC23" s="4">
        <f ca="1" xml:space="preserve">  'Balance Sheet'!BC$21</f>
        <v>113870681.78776221</v>
      </c>
      <c r="BD23" s="4">
        <f ca="1" xml:space="preserve">  'Balance Sheet'!BD$21</f>
        <v>126569106.11518037</v>
      </c>
      <c r="BE23" s="4">
        <f ca="1" xml:space="preserve">  'Balance Sheet'!BE$21</f>
        <v>132146675.40435174</v>
      </c>
      <c r="BF23" s="4">
        <f ca="1" xml:space="preserve">  'Balance Sheet'!BF$21</f>
        <v>148577832.75746182</v>
      </c>
      <c r="BG23" s="4">
        <f ca="1" xml:space="preserve">  'Balance Sheet'!BG$21</f>
        <v>161785083.92992976</v>
      </c>
      <c r="BH23" s="4">
        <f ca="1" xml:space="preserve">  'Balance Sheet'!BH$21</f>
        <v>168082542.16564411</v>
      </c>
      <c r="BI23" s="4">
        <f ca="1" xml:space="preserve">  'Balance Sheet'!BI$21</f>
        <v>165256303.91474783</v>
      </c>
      <c r="BJ23" s="4">
        <f ca="1" xml:space="preserve">  'Balance Sheet'!BJ$21</f>
        <v>183675677.22030061</v>
      </c>
      <c r="BK23" s="4">
        <f ca="1" xml:space="preserve">  'Balance Sheet'!BK$21</f>
        <v>189878024.84064248</v>
      </c>
      <c r="BL23" s="4">
        <f ca="1" xml:space="preserve">  'Balance Sheet'!BL$21</f>
        <v>211640905.92218307</v>
      </c>
      <c r="BM23" s="4">
        <f ca="1" xml:space="preserve">  'Balance Sheet'!BM$21</f>
        <v>232372252.6780532</v>
      </c>
      <c r="BN23" s="4">
        <f ca="1" xml:space="preserve">  'Balance Sheet'!BN$21</f>
        <v>238717738.23100027</v>
      </c>
      <c r="BO23" s="4">
        <f ca="1" xml:space="preserve">  'Balance Sheet'!BO$21</f>
        <v>264988591.9041768</v>
      </c>
      <c r="BP23" s="4">
        <f ca="1" xml:space="preserve">  'Balance Sheet'!BP$21</f>
        <v>290266600.9283154</v>
      </c>
      <c r="BQ23" s="4">
        <f ca="1" xml:space="preserve">  'Balance Sheet'!BQ$21</f>
        <v>300484818.36869133</v>
      </c>
    </row>
    <row r="24" spans="1:69" outlineLevel="1">
      <c r="A24" s="34"/>
      <c r="B24" s="34"/>
      <c r="C24" s="64"/>
      <c r="D24" s="65"/>
      <c r="E24" s="21" t="s">
        <v>284</v>
      </c>
      <c r="F24" s="21"/>
      <c r="G24" s="21" t="s">
        <v>257</v>
      </c>
      <c r="H24" s="21"/>
      <c r="I24" s="21"/>
      <c r="J24" s="3">
        <f t="shared" ref="J24:BQ24" ca="1" si="3" xml:space="preserve">  J22 - J23</f>
        <v>-67000</v>
      </c>
      <c r="K24" s="3">
        <f t="shared" ca="1" si="3"/>
        <v>-141291.66666666666</v>
      </c>
      <c r="L24" s="3">
        <f t="shared" ca="1" si="3"/>
        <v>-131000</v>
      </c>
      <c r="M24" s="3">
        <f t="shared" ca="1" si="3"/>
        <v>-86316.190184678882</v>
      </c>
      <c r="N24" s="3">
        <f t="shared" ca="1" si="3"/>
        <v>-90632.380369357765</v>
      </c>
      <c r="O24" s="3">
        <f t="shared" ca="1" si="3"/>
        <v>-89115.237220703159</v>
      </c>
      <c r="P24" s="3">
        <f t="shared" ca="1" si="3"/>
        <v>64773.415582829155</v>
      </c>
      <c r="Q24" s="3">
        <f t="shared" ca="1" si="3"/>
        <v>217914.0209422214</v>
      </c>
      <c r="R24" s="3">
        <f t="shared" ca="1" si="3"/>
        <v>441637.95963494666</v>
      </c>
      <c r="S24" s="3">
        <f t="shared" ca="1" si="3"/>
        <v>635685.0113388598</v>
      </c>
      <c r="T24" s="3">
        <f t="shared" ca="1" si="3"/>
        <v>1109732.0630427729</v>
      </c>
      <c r="U24" s="3">
        <f t="shared" ca="1" si="3"/>
        <v>1569195.781413353</v>
      </c>
      <c r="V24" s="3">
        <f t="shared" ca="1" si="3"/>
        <v>2283580.9815609902</v>
      </c>
      <c r="W24" s="3">
        <f t="shared" ca="1" si="3"/>
        <v>3219707.190655319</v>
      </c>
      <c r="X24" s="3">
        <f t="shared" ca="1" si="3"/>
        <v>4185003.7286681943</v>
      </c>
      <c r="Y24" s="3">
        <f t="shared" ca="1" si="3"/>
        <v>5413841.7299621347</v>
      </c>
      <c r="Z24" s="3">
        <f t="shared" ca="1" si="3"/>
        <v>6634134.8560638577</v>
      </c>
      <c r="AA24" s="3">
        <f t="shared" ca="1" si="3"/>
        <v>7848384.8658541273</v>
      </c>
      <c r="AB24" s="3">
        <f t="shared" ca="1" si="3"/>
        <v>9040668.2836797014</v>
      </c>
      <c r="AC24" s="3">
        <f t="shared" ca="1" si="3"/>
        <v>10225275.580356564</v>
      </c>
      <c r="AD24" s="3">
        <f t="shared" ca="1" si="3"/>
        <v>11379441.724905508</v>
      </c>
      <c r="AE24" s="3">
        <f t="shared" ca="1" si="3"/>
        <v>12656244.788188875</v>
      </c>
      <c r="AF24" s="3">
        <f t="shared" ca="1" si="3"/>
        <v>14047956.385039687</v>
      </c>
      <c r="AG24" s="3">
        <f t="shared" ca="1" si="3"/>
        <v>15546226.417618215</v>
      </c>
      <c r="AH24" s="3">
        <f t="shared" ca="1" si="3"/>
        <v>17238429.713345394</v>
      </c>
      <c r="AI24" s="3">
        <f t="shared" ca="1" si="3"/>
        <v>19015632.027212005</v>
      </c>
      <c r="AJ24" s="3">
        <f t="shared" ca="1" si="3"/>
        <v>21009282.998669654</v>
      </c>
      <c r="AK24" s="3">
        <f t="shared" ca="1" si="3"/>
        <v>23084752.841449115</v>
      </c>
      <c r="AL24" s="3">
        <f t="shared" ca="1" si="3"/>
        <v>25257444.965992115</v>
      </c>
      <c r="AM24" s="3">
        <f t="shared" ca="1" si="3"/>
        <v>27596550.857912235</v>
      </c>
      <c r="AN24" s="3">
        <f t="shared" ca="1" si="3"/>
        <v>30085299.134254612</v>
      </c>
      <c r="AO24" s="3">
        <f t="shared" ca="1" si="3"/>
        <v>32613423.501632914</v>
      </c>
      <c r="AP24" s="3">
        <f t="shared" ca="1" si="3"/>
        <v>35389832.231422037</v>
      </c>
      <c r="AQ24" s="3">
        <f t="shared" ca="1" si="3"/>
        <v>38250146.031563208</v>
      </c>
      <c r="AR24" s="3">
        <f t="shared" ca="1" si="3"/>
        <v>41347568.565505944</v>
      </c>
      <c r="AS24" s="3">
        <f t="shared" ca="1" si="3"/>
        <v>44665399.637570754</v>
      </c>
      <c r="AT24" s="3">
        <f t="shared" ca="1" si="3"/>
        <v>48330761.381771252</v>
      </c>
      <c r="AU24" s="3">
        <f t="shared" ca="1" si="3"/>
        <v>52185676.285379782</v>
      </c>
      <c r="AV24" s="3">
        <f t="shared" ca="1" si="3"/>
        <v>56358175.60642153</v>
      </c>
      <c r="AW24" s="3">
        <f t="shared" ca="1" si="3"/>
        <v>60974932.064671725</v>
      </c>
      <c r="AX24" s="3">
        <f t="shared" ca="1" si="3"/>
        <v>65883158.041314259</v>
      </c>
      <c r="AY24" s="3">
        <f t="shared" ca="1" si="3"/>
        <v>71201328.556568488</v>
      </c>
      <c r="AZ24" s="3">
        <f t="shared" ca="1" si="3"/>
        <v>76913701.384116977</v>
      </c>
      <c r="BA24" s="3">
        <f t="shared" ca="1" si="3"/>
        <v>83012254.393196791</v>
      </c>
      <c r="BB24" s="3">
        <f t="shared" ca="1" si="3"/>
        <v>89465477.893249348</v>
      </c>
      <c r="BC24" s="3">
        <f t="shared" ca="1" si="3"/>
        <v>96402050.642972484</v>
      </c>
      <c r="BD24" s="3">
        <f t="shared" ca="1" si="3"/>
        <v>103789070.17259806</v>
      </c>
      <c r="BE24" s="3">
        <f t="shared" ca="1" si="3"/>
        <v>111753699.20434937</v>
      </c>
      <c r="BF24" s="3">
        <f t="shared" ca="1" si="3"/>
        <v>120241447.85933784</v>
      </c>
      <c r="BG24" s="3">
        <f t="shared" ca="1" si="3"/>
        <v>129231706.999809</v>
      </c>
      <c r="BH24" s="3">
        <f t="shared" ca="1" si="3"/>
        <v>138840539.14181334</v>
      </c>
      <c r="BI24" s="3">
        <f t="shared" ca="1" si="3"/>
        <v>149027288.45809257</v>
      </c>
      <c r="BJ24" s="3">
        <f t="shared" ca="1" si="3"/>
        <v>159862689.31115657</v>
      </c>
      <c r="BK24" s="3">
        <f t="shared" ca="1" si="3"/>
        <v>171313608.40811053</v>
      </c>
      <c r="BL24" s="3">
        <f t="shared" ca="1" si="3"/>
        <v>183489157.50316998</v>
      </c>
      <c r="BM24" s="3">
        <f t="shared" ca="1" si="3"/>
        <v>196293129.46129221</v>
      </c>
      <c r="BN24" s="3">
        <f t="shared" ca="1" si="3"/>
        <v>209841588.2346932</v>
      </c>
      <c r="BO24" s="3">
        <f t="shared" ca="1" si="3"/>
        <v>224223343.37584928</v>
      </c>
      <c r="BP24" s="3">
        <f t="shared" ca="1" si="3"/>
        <v>239408429.57681024</v>
      </c>
      <c r="BQ24" s="3">
        <f t="shared" ca="1" si="3"/>
        <v>255482005.61535609</v>
      </c>
    </row>
    <row r="27" spans="1:69">
      <c r="B27" s="25" t="s">
        <v>35</v>
      </c>
    </row>
    <row r="28" spans="1:69" outlineLevel="1">
      <c r="E28" s="2" t="str">
        <f t="shared" ref="E28:BQ28" si="4" xml:space="preserve">  E$38</f>
        <v>Retained Earnings</v>
      </c>
      <c r="F28" s="2">
        <f t="shared" si="4"/>
        <v>0</v>
      </c>
      <c r="G28" s="2" t="str">
        <f t="shared" si="4"/>
        <v>GBP</v>
      </c>
      <c r="H28" s="2">
        <f t="shared" si="4"/>
        <v>0</v>
      </c>
      <c r="I28" s="2">
        <f t="shared" si="4"/>
        <v>0</v>
      </c>
      <c r="J28" s="2">
        <f t="shared" ca="1" si="4"/>
        <v>-67000</v>
      </c>
      <c r="K28" s="2">
        <f t="shared" ca="1" si="4"/>
        <v>-141291.66666666669</v>
      </c>
      <c r="L28" s="2">
        <f t="shared" ca="1" si="4"/>
        <v>-131000.00000000001</v>
      </c>
      <c r="M28" s="2">
        <f t="shared" ca="1" si="4"/>
        <v>-86316.190184678868</v>
      </c>
      <c r="N28" s="2">
        <f t="shared" ca="1" si="4"/>
        <v>-90632.380369357721</v>
      </c>
      <c r="O28" s="2">
        <f t="shared" ca="1" si="4"/>
        <v>-89115.237220703246</v>
      </c>
      <c r="P28" s="2">
        <f t="shared" ca="1" si="4"/>
        <v>64773.415582829301</v>
      </c>
      <c r="Q28" s="2">
        <f t="shared" ca="1" si="4"/>
        <v>217914.02094222119</v>
      </c>
      <c r="R28" s="2">
        <f t="shared" ca="1" si="4"/>
        <v>441637.95963494637</v>
      </c>
      <c r="S28" s="2">
        <f t="shared" ca="1" si="4"/>
        <v>635685.01133885968</v>
      </c>
      <c r="T28" s="2">
        <f t="shared" ca="1" si="4"/>
        <v>1109732.0630427729</v>
      </c>
      <c r="U28" s="2">
        <f t="shared" ca="1" si="4"/>
        <v>1569195.781413353</v>
      </c>
      <c r="V28" s="2">
        <f t="shared" ca="1" si="4"/>
        <v>2283580.9815609911</v>
      </c>
      <c r="W28" s="2">
        <f t="shared" ca="1" si="4"/>
        <v>3219707.1906553181</v>
      </c>
      <c r="X28" s="2">
        <f t="shared" ca="1" si="4"/>
        <v>4185003.7286681943</v>
      </c>
      <c r="Y28" s="2">
        <f t="shared" ca="1" si="4"/>
        <v>5413841.7299621366</v>
      </c>
      <c r="Z28" s="2">
        <f t="shared" ca="1" si="4"/>
        <v>6634134.8560638577</v>
      </c>
      <c r="AA28" s="2">
        <f t="shared" ca="1" si="4"/>
        <v>7848384.8658541311</v>
      </c>
      <c r="AB28" s="2">
        <f t="shared" ca="1" si="4"/>
        <v>9040668.2836797033</v>
      </c>
      <c r="AC28" s="2">
        <f t="shared" ca="1" si="4"/>
        <v>10225275.580356568</v>
      </c>
      <c r="AD28" s="2">
        <f t="shared" ca="1" si="4"/>
        <v>11379441.724905508</v>
      </c>
      <c r="AE28" s="2">
        <f t="shared" ca="1" si="4"/>
        <v>12656244.78818888</v>
      </c>
      <c r="AF28" s="2">
        <f t="shared" ca="1" si="4"/>
        <v>14047956.385039691</v>
      </c>
      <c r="AG28" s="2">
        <f t="shared" ca="1" si="4"/>
        <v>15546226.417618219</v>
      </c>
      <c r="AH28" s="2">
        <f t="shared" ca="1" si="4"/>
        <v>17238429.71334539</v>
      </c>
      <c r="AI28" s="2">
        <f t="shared" ca="1" si="4"/>
        <v>19015632.027212001</v>
      </c>
      <c r="AJ28" s="2">
        <f t="shared" ca="1" si="4"/>
        <v>21009282.998669647</v>
      </c>
      <c r="AK28" s="2">
        <f t="shared" ca="1" si="4"/>
        <v>23084752.841449108</v>
      </c>
      <c r="AL28" s="2">
        <f t="shared" ca="1" si="4"/>
        <v>25257444.965992115</v>
      </c>
      <c r="AM28" s="2">
        <f t="shared" ca="1" si="4"/>
        <v>27596550.857912228</v>
      </c>
      <c r="AN28" s="2">
        <f t="shared" ca="1" si="4"/>
        <v>30085299.134254608</v>
      </c>
      <c r="AO28" s="2">
        <f t="shared" ca="1" si="4"/>
        <v>32613423.501632906</v>
      </c>
      <c r="AP28" s="2">
        <f t="shared" ca="1" si="4"/>
        <v>35389832.231422022</v>
      </c>
      <c r="AQ28" s="2">
        <f t="shared" ca="1" si="4"/>
        <v>38250146.0315632</v>
      </c>
      <c r="AR28" s="2">
        <f t="shared" ca="1" si="4"/>
        <v>41347568.565505922</v>
      </c>
      <c r="AS28" s="2">
        <f t="shared" ca="1" si="4"/>
        <v>44665399.637570739</v>
      </c>
      <c r="AT28" s="2">
        <f t="shared" ca="1" si="4"/>
        <v>48330761.381771237</v>
      </c>
      <c r="AU28" s="2">
        <f t="shared" ca="1" si="4"/>
        <v>52185676.28537976</v>
      </c>
      <c r="AV28" s="2">
        <f t="shared" ca="1" si="4"/>
        <v>56358175.606421523</v>
      </c>
      <c r="AW28" s="2">
        <f t="shared" ca="1" si="4"/>
        <v>60974932.06467171</v>
      </c>
      <c r="AX28" s="2">
        <f t="shared" ca="1" si="4"/>
        <v>65883158.041314267</v>
      </c>
      <c r="AY28" s="2">
        <f t="shared" ca="1" si="4"/>
        <v>71201328.556568488</v>
      </c>
      <c r="AZ28" s="2">
        <f t="shared" ca="1" si="4"/>
        <v>76913701.384116963</v>
      </c>
      <c r="BA28" s="2">
        <f t="shared" ca="1" si="4"/>
        <v>83012254.393196777</v>
      </c>
      <c r="BB28" s="2">
        <f t="shared" ca="1" si="4"/>
        <v>89465477.893249333</v>
      </c>
      <c r="BC28" s="2">
        <f t="shared" ca="1" si="4"/>
        <v>96402050.642972469</v>
      </c>
      <c r="BD28" s="2">
        <f t="shared" ca="1" si="4"/>
        <v>103789070.17259805</v>
      </c>
      <c r="BE28" s="2">
        <f t="shared" ca="1" si="4"/>
        <v>111753699.20434938</v>
      </c>
      <c r="BF28" s="2">
        <f t="shared" ca="1" si="4"/>
        <v>120241447.85933785</v>
      </c>
      <c r="BG28" s="2">
        <f t="shared" ca="1" si="4"/>
        <v>129231706.99980903</v>
      </c>
      <c r="BH28" s="2">
        <f t="shared" ca="1" si="4"/>
        <v>138840539.14181334</v>
      </c>
      <c r="BI28" s="2">
        <f t="shared" ca="1" si="4"/>
        <v>149027288.4580926</v>
      </c>
      <c r="BJ28" s="2">
        <f t="shared" ca="1" si="4"/>
        <v>159862689.31115657</v>
      </c>
      <c r="BK28" s="2">
        <f t="shared" ca="1" si="4"/>
        <v>171313608.40811056</v>
      </c>
      <c r="BL28" s="2">
        <f t="shared" ca="1" si="4"/>
        <v>183489157.50317007</v>
      </c>
      <c r="BM28" s="2">
        <f t="shared" ca="1" si="4"/>
        <v>196293129.46129227</v>
      </c>
      <c r="BN28" s="2">
        <f t="shared" ca="1" si="4"/>
        <v>209841588.23469326</v>
      </c>
      <c r="BO28" s="2">
        <f t="shared" ca="1" si="4"/>
        <v>224223343.37584937</v>
      </c>
      <c r="BP28" s="2">
        <f t="shared" ca="1" si="4"/>
        <v>239408429.57681036</v>
      </c>
      <c r="BQ28" s="2">
        <f t="shared" ca="1" si="4"/>
        <v>255482005.61535621</v>
      </c>
    </row>
    <row r="29" spans="1:69" outlineLevel="1">
      <c r="A29" s="18"/>
      <c r="B29" s="18"/>
      <c r="C29" s="28"/>
      <c r="D29" s="27"/>
      <c r="E29" s="4" t="str">
        <f xml:space="preserve">  Equity!E$13</f>
        <v>Share Capital</v>
      </c>
      <c r="F29" s="4">
        <f xml:space="preserve">  Equity!F$13</f>
        <v>0</v>
      </c>
      <c r="G29" s="4" t="str">
        <f xml:space="preserve">  Equity!G$13</f>
        <v>GBP</v>
      </c>
      <c r="H29" s="4">
        <f xml:space="preserve">  Equity!H$13</f>
        <v>0</v>
      </c>
      <c r="I29" s="4">
        <f xml:space="preserve">  Equity!I$13</f>
        <v>0</v>
      </c>
      <c r="J29" s="4">
        <f xml:space="preserve">  Equity!J$13</f>
        <v>0</v>
      </c>
      <c r="K29" s="4">
        <f xml:space="preserve">  Equity!K$13</f>
        <v>0</v>
      </c>
      <c r="L29" s="4">
        <f xml:space="preserve">  Equity!L$13</f>
        <v>0</v>
      </c>
      <c r="M29" s="4">
        <f xml:space="preserve">  Equity!M$13</f>
        <v>0</v>
      </c>
      <c r="N29" s="4">
        <f xml:space="preserve">  Equity!N$13</f>
        <v>0</v>
      </c>
      <c r="O29" s="4">
        <f xml:space="preserve">  Equity!O$13</f>
        <v>0</v>
      </c>
      <c r="P29" s="4">
        <f xml:space="preserve">  Equity!P$13</f>
        <v>0</v>
      </c>
      <c r="Q29" s="4">
        <f xml:space="preserve">  Equity!Q$13</f>
        <v>0</v>
      </c>
      <c r="R29" s="4">
        <f xml:space="preserve">  Equity!R$13</f>
        <v>0</v>
      </c>
      <c r="S29" s="4">
        <f xml:space="preserve">  Equity!S$13</f>
        <v>0</v>
      </c>
      <c r="T29" s="4">
        <f xml:space="preserve">  Equity!T$13</f>
        <v>0</v>
      </c>
      <c r="U29" s="4">
        <f xml:space="preserve">  Equity!U$13</f>
        <v>0</v>
      </c>
      <c r="V29" s="4">
        <f xml:space="preserve">  Equity!V$13</f>
        <v>0</v>
      </c>
      <c r="W29" s="4">
        <f xml:space="preserve">  Equity!W$13</f>
        <v>0</v>
      </c>
      <c r="X29" s="4">
        <f xml:space="preserve">  Equity!X$13</f>
        <v>0</v>
      </c>
      <c r="Y29" s="4">
        <f xml:space="preserve">  Equity!Y$13</f>
        <v>0</v>
      </c>
      <c r="Z29" s="4">
        <f xml:space="preserve">  Equity!Z$13</f>
        <v>0</v>
      </c>
      <c r="AA29" s="4">
        <f xml:space="preserve">  Equity!AA$13</f>
        <v>0</v>
      </c>
      <c r="AB29" s="4">
        <f xml:space="preserve">  Equity!AB$13</f>
        <v>0</v>
      </c>
      <c r="AC29" s="4">
        <f xml:space="preserve">  Equity!AC$13</f>
        <v>0</v>
      </c>
      <c r="AD29" s="4">
        <f xml:space="preserve">  Equity!AD$13</f>
        <v>0</v>
      </c>
      <c r="AE29" s="4">
        <f xml:space="preserve">  Equity!AE$13</f>
        <v>0</v>
      </c>
      <c r="AF29" s="4">
        <f xml:space="preserve">  Equity!AF$13</f>
        <v>0</v>
      </c>
      <c r="AG29" s="4">
        <f xml:space="preserve">  Equity!AG$13</f>
        <v>0</v>
      </c>
      <c r="AH29" s="4">
        <f xml:space="preserve">  Equity!AH$13</f>
        <v>0</v>
      </c>
      <c r="AI29" s="4">
        <f xml:space="preserve">  Equity!AI$13</f>
        <v>0</v>
      </c>
      <c r="AJ29" s="4">
        <f xml:space="preserve">  Equity!AJ$13</f>
        <v>0</v>
      </c>
      <c r="AK29" s="4">
        <f xml:space="preserve">  Equity!AK$13</f>
        <v>0</v>
      </c>
      <c r="AL29" s="4">
        <f xml:space="preserve">  Equity!AL$13</f>
        <v>0</v>
      </c>
      <c r="AM29" s="4">
        <f xml:space="preserve">  Equity!AM$13</f>
        <v>0</v>
      </c>
      <c r="AN29" s="4">
        <f xml:space="preserve">  Equity!AN$13</f>
        <v>0</v>
      </c>
      <c r="AO29" s="4">
        <f xml:space="preserve">  Equity!AO$13</f>
        <v>0</v>
      </c>
      <c r="AP29" s="4">
        <f xml:space="preserve">  Equity!AP$13</f>
        <v>0</v>
      </c>
      <c r="AQ29" s="4">
        <f xml:space="preserve">  Equity!AQ$13</f>
        <v>0</v>
      </c>
      <c r="AR29" s="4">
        <f xml:space="preserve">  Equity!AR$13</f>
        <v>0</v>
      </c>
      <c r="AS29" s="4">
        <f xml:space="preserve">  Equity!AS$13</f>
        <v>0</v>
      </c>
      <c r="AT29" s="4">
        <f xml:space="preserve">  Equity!AT$13</f>
        <v>0</v>
      </c>
      <c r="AU29" s="4">
        <f xml:space="preserve">  Equity!AU$13</f>
        <v>0</v>
      </c>
      <c r="AV29" s="4">
        <f xml:space="preserve">  Equity!AV$13</f>
        <v>0</v>
      </c>
      <c r="AW29" s="4">
        <f xml:space="preserve">  Equity!AW$13</f>
        <v>0</v>
      </c>
      <c r="AX29" s="4">
        <f xml:space="preserve">  Equity!AX$13</f>
        <v>0</v>
      </c>
      <c r="AY29" s="4">
        <f xml:space="preserve">  Equity!AY$13</f>
        <v>0</v>
      </c>
      <c r="AZ29" s="4">
        <f xml:space="preserve">  Equity!AZ$13</f>
        <v>0</v>
      </c>
      <c r="BA29" s="4">
        <f xml:space="preserve">  Equity!BA$13</f>
        <v>0</v>
      </c>
      <c r="BB29" s="4">
        <f xml:space="preserve">  Equity!BB$13</f>
        <v>0</v>
      </c>
      <c r="BC29" s="4">
        <f xml:space="preserve">  Equity!BC$13</f>
        <v>0</v>
      </c>
      <c r="BD29" s="4">
        <f xml:space="preserve">  Equity!BD$13</f>
        <v>0</v>
      </c>
      <c r="BE29" s="4">
        <f xml:space="preserve">  Equity!BE$13</f>
        <v>0</v>
      </c>
      <c r="BF29" s="4">
        <f xml:space="preserve">  Equity!BF$13</f>
        <v>0</v>
      </c>
      <c r="BG29" s="4">
        <f xml:space="preserve">  Equity!BG$13</f>
        <v>0</v>
      </c>
      <c r="BH29" s="4">
        <f xml:space="preserve">  Equity!BH$13</f>
        <v>0</v>
      </c>
      <c r="BI29" s="4">
        <f xml:space="preserve">  Equity!BI$13</f>
        <v>0</v>
      </c>
      <c r="BJ29" s="4">
        <f xml:space="preserve">  Equity!BJ$13</f>
        <v>0</v>
      </c>
      <c r="BK29" s="4">
        <f xml:space="preserve">  Equity!BK$13</f>
        <v>0</v>
      </c>
      <c r="BL29" s="4">
        <f xml:space="preserve">  Equity!BL$13</f>
        <v>0</v>
      </c>
      <c r="BM29" s="4">
        <f xml:space="preserve">  Equity!BM$13</f>
        <v>0</v>
      </c>
      <c r="BN29" s="4">
        <f xml:space="preserve">  Equity!BN$13</f>
        <v>0</v>
      </c>
      <c r="BO29" s="4">
        <f xml:space="preserve">  Equity!BO$13</f>
        <v>0</v>
      </c>
      <c r="BP29" s="4">
        <f xml:space="preserve">  Equity!BP$13</f>
        <v>0</v>
      </c>
      <c r="BQ29" s="4">
        <f xml:space="preserve">  Equity!BQ$13</f>
        <v>0</v>
      </c>
    </row>
    <row r="30" spans="1:69" outlineLevel="1">
      <c r="A30" s="34"/>
      <c r="B30" s="34"/>
      <c r="C30" s="64"/>
      <c r="D30" s="65"/>
      <c r="E30" s="21" t="s">
        <v>35</v>
      </c>
      <c r="F30" s="21"/>
      <c r="G30" s="21" t="s">
        <v>257</v>
      </c>
      <c r="H30" s="21"/>
      <c r="I30" s="21"/>
      <c r="J30" s="3">
        <f t="shared" ref="J30:BQ30" ca="1" si="5" xml:space="preserve">  J28 + J29</f>
        <v>-67000</v>
      </c>
      <c r="K30" s="3">
        <f t="shared" ca="1" si="5"/>
        <v>-141291.66666666669</v>
      </c>
      <c r="L30" s="3">
        <f t="shared" ca="1" si="5"/>
        <v>-131000.00000000001</v>
      </c>
      <c r="M30" s="3">
        <f t="shared" ca="1" si="5"/>
        <v>-86316.190184678868</v>
      </c>
      <c r="N30" s="3">
        <f t="shared" ca="1" si="5"/>
        <v>-90632.380369357721</v>
      </c>
      <c r="O30" s="3">
        <f t="shared" ca="1" si="5"/>
        <v>-89115.237220703246</v>
      </c>
      <c r="P30" s="3">
        <f t="shared" ca="1" si="5"/>
        <v>64773.415582829301</v>
      </c>
      <c r="Q30" s="3">
        <f t="shared" ca="1" si="5"/>
        <v>217914.02094222119</v>
      </c>
      <c r="R30" s="3">
        <f t="shared" ca="1" si="5"/>
        <v>441637.95963494637</v>
      </c>
      <c r="S30" s="3">
        <f t="shared" ca="1" si="5"/>
        <v>635685.01133885968</v>
      </c>
      <c r="T30" s="3">
        <f t="shared" ca="1" si="5"/>
        <v>1109732.0630427729</v>
      </c>
      <c r="U30" s="3">
        <f t="shared" ca="1" si="5"/>
        <v>1569195.781413353</v>
      </c>
      <c r="V30" s="3">
        <f t="shared" ca="1" si="5"/>
        <v>2283580.9815609911</v>
      </c>
      <c r="W30" s="3">
        <f t="shared" ca="1" si="5"/>
        <v>3219707.1906553181</v>
      </c>
      <c r="X30" s="3">
        <f t="shared" ca="1" si="5"/>
        <v>4185003.7286681943</v>
      </c>
      <c r="Y30" s="3">
        <f t="shared" ca="1" si="5"/>
        <v>5413841.7299621366</v>
      </c>
      <c r="Z30" s="3">
        <f t="shared" ca="1" si="5"/>
        <v>6634134.8560638577</v>
      </c>
      <c r="AA30" s="3">
        <f t="shared" ca="1" si="5"/>
        <v>7848384.8658541311</v>
      </c>
      <c r="AB30" s="3">
        <f t="shared" ca="1" si="5"/>
        <v>9040668.2836797033</v>
      </c>
      <c r="AC30" s="3">
        <f t="shared" ca="1" si="5"/>
        <v>10225275.580356568</v>
      </c>
      <c r="AD30" s="3">
        <f t="shared" ca="1" si="5"/>
        <v>11379441.724905508</v>
      </c>
      <c r="AE30" s="3">
        <f t="shared" ca="1" si="5"/>
        <v>12656244.78818888</v>
      </c>
      <c r="AF30" s="3">
        <f t="shared" ca="1" si="5"/>
        <v>14047956.385039691</v>
      </c>
      <c r="AG30" s="3">
        <f t="shared" ca="1" si="5"/>
        <v>15546226.417618219</v>
      </c>
      <c r="AH30" s="3">
        <f t="shared" ca="1" si="5"/>
        <v>17238429.71334539</v>
      </c>
      <c r="AI30" s="3">
        <f t="shared" ca="1" si="5"/>
        <v>19015632.027212001</v>
      </c>
      <c r="AJ30" s="3">
        <f t="shared" ca="1" si="5"/>
        <v>21009282.998669647</v>
      </c>
      <c r="AK30" s="3">
        <f t="shared" ca="1" si="5"/>
        <v>23084752.841449108</v>
      </c>
      <c r="AL30" s="3">
        <f t="shared" ca="1" si="5"/>
        <v>25257444.965992115</v>
      </c>
      <c r="AM30" s="3">
        <f t="shared" ca="1" si="5"/>
        <v>27596550.857912228</v>
      </c>
      <c r="AN30" s="3">
        <f t="shared" ca="1" si="5"/>
        <v>30085299.134254608</v>
      </c>
      <c r="AO30" s="3">
        <f t="shared" ca="1" si="5"/>
        <v>32613423.501632906</v>
      </c>
      <c r="AP30" s="3">
        <f t="shared" ca="1" si="5"/>
        <v>35389832.231422022</v>
      </c>
      <c r="AQ30" s="3">
        <f t="shared" ca="1" si="5"/>
        <v>38250146.0315632</v>
      </c>
      <c r="AR30" s="3">
        <f t="shared" ca="1" si="5"/>
        <v>41347568.565505922</v>
      </c>
      <c r="AS30" s="3">
        <f t="shared" ca="1" si="5"/>
        <v>44665399.637570739</v>
      </c>
      <c r="AT30" s="3">
        <f t="shared" ca="1" si="5"/>
        <v>48330761.381771237</v>
      </c>
      <c r="AU30" s="3">
        <f t="shared" ca="1" si="5"/>
        <v>52185676.28537976</v>
      </c>
      <c r="AV30" s="3">
        <f t="shared" ca="1" si="5"/>
        <v>56358175.606421523</v>
      </c>
      <c r="AW30" s="3">
        <f t="shared" ca="1" si="5"/>
        <v>60974932.06467171</v>
      </c>
      <c r="AX30" s="3">
        <f t="shared" ca="1" si="5"/>
        <v>65883158.041314267</v>
      </c>
      <c r="AY30" s="3">
        <f t="shared" ca="1" si="5"/>
        <v>71201328.556568488</v>
      </c>
      <c r="AZ30" s="3">
        <f t="shared" ca="1" si="5"/>
        <v>76913701.384116963</v>
      </c>
      <c r="BA30" s="3">
        <f t="shared" ca="1" si="5"/>
        <v>83012254.393196777</v>
      </c>
      <c r="BB30" s="3">
        <f t="shared" ca="1" si="5"/>
        <v>89465477.893249333</v>
      </c>
      <c r="BC30" s="3">
        <f t="shared" ca="1" si="5"/>
        <v>96402050.642972469</v>
      </c>
      <c r="BD30" s="3">
        <f t="shared" ca="1" si="5"/>
        <v>103789070.17259805</v>
      </c>
      <c r="BE30" s="3">
        <f t="shared" ca="1" si="5"/>
        <v>111753699.20434938</v>
      </c>
      <c r="BF30" s="3">
        <f t="shared" ca="1" si="5"/>
        <v>120241447.85933785</v>
      </c>
      <c r="BG30" s="3">
        <f t="shared" ca="1" si="5"/>
        <v>129231706.99980903</v>
      </c>
      <c r="BH30" s="3">
        <f t="shared" ca="1" si="5"/>
        <v>138840539.14181334</v>
      </c>
      <c r="BI30" s="3">
        <f t="shared" ca="1" si="5"/>
        <v>149027288.4580926</v>
      </c>
      <c r="BJ30" s="3">
        <f t="shared" ca="1" si="5"/>
        <v>159862689.31115657</v>
      </c>
      <c r="BK30" s="3">
        <f t="shared" ca="1" si="5"/>
        <v>171313608.40811056</v>
      </c>
      <c r="BL30" s="3">
        <f t="shared" ca="1" si="5"/>
        <v>183489157.50317007</v>
      </c>
      <c r="BM30" s="3">
        <f t="shared" ca="1" si="5"/>
        <v>196293129.46129227</v>
      </c>
      <c r="BN30" s="3">
        <f t="shared" ca="1" si="5"/>
        <v>209841588.23469326</v>
      </c>
      <c r="BO30" s="3">
        <f t="shared" ca="1" si="5"/>
        <v>224223343.37584937</v>
      </c>
      <c r="BP30" s="3">
        <f t="shared" ca="1" si="5"/>
        <v>239408429.57681036</v>
      </c>
      <c r="BQ30" s="3">
        <f t="shared" ca="1" si="5"/>
        <v>255482005.61535621</v>
      </c>
    </row>
    <row r="33" spans="1:69">
      <c r="B33" s="25" t="s">
        <v>12</v>
      </c>
    </row>
    <row r="34" spans="1:69" s="80" customFormat="1">
      <c r="A34" s="60"/>
      <c r="B34" s="60"/>
      <c r="C34" s="82"/>
      <c r="D34" s="85"/>
      <c r="E34" s="40" t="str">
        <f xml:space="preserve">  InpC!E$54</f>
        <v>Opening Retained Earnings</v>
      </c>
      <c r="F34" s="40">
        <f xml:space="preserve">  InpC!F$54</f>
        <v>0</v>
      </c>
      <c r="G34" s="40" t="str">
        <f xml:space="preserve">  InpC!G$54</f>
        <v>GBP</v>
      </c>
      <c r="M34" s="87"/>
    </row>
    <row r="35" spans="1:69">
      <c r="A35" s="18"/>
      <c r="B35" s="18"/>
      <c r="C35" s="28"/>
      <c r="D35" s="27"/>
      <c r="E35" s="9" t="str">
        <f xml:space="preserve">  Time!E$28</f>
        <v>Period number</v>
      </c>
      <c r="F35" s="9">
        <f xml:space="preserve">  Time!F$28</f>
        <v>0</v>
      </c>
      <c r="G35" s="9" t="str">
        <f xml:space="preserve">  Time!G$28</f>
        <v>Counter</v>
      </c>
      <c r="H35" s="9">
        <f xml:space="preserve">  Time!H$28</f>
        <v>0</v>
      </c>
      <c r="I35" s="9">
        <f xml:space="preserve">  Time!I$28</f>
        <v>0</v>
      </c>
      <c r="J35" s="9">
        <f xml:space="preserve">  Time!J$28</f>
        <v>1</v>
      </c>
      <c r="K35" s="9">
        <f xml:space="preserve">  Time!K$28</f>
        <v>2</v>
      </c>
      <c r="L35" s="9">
        <f xml:space="preserve">  Time!L$28</f>
        <v>3</v>
      </c>
      <c r="M35" s="9">
        <f xml:space="preserve">  Time!M$28</f>
        <v>4</v>
      </c>
      <c r="N35" s="9">
        <f xml:space="preserve">  Time!N$28</f>
        <v>5</v>
      </c>
      <c r="O35" s="9">
        <f xml:space="preserve">  Time!O$28</f>
        <v>6</v>
      </c>
      <c r="P35" s="9">
        <f xml:space="preserve">  Time!P$28</f>
        <v>7</v>
      </c>
      <c r="Q35" s="9">
        <f xml:space="preserve">  Time!Q$28</f>
        <v>8</v>
      </c>
      <c r="R35" s="9">
        <f xml:space="preserve">  Time!R$28</f>
        <v>9</v>
      </c>
      <c r="S35" s="9">
        <f xml:space="preserve">  Time!S$28</f>
        <v>10</v>
      </c>
      <c r="T35" s="9">
        <f xml:space="preserve">  Time!T$28</f>
        <v>11</v>
      </c>
      <c r="U35" s="9">
        <f xml:space="preserve">  Time!U$28</f>
        <v>12</v>
      </c>
      <c r="V35" s="9">
        <f xml:space="preserve">  Time!V$28</f>
        <v>13</v>
      </c>
      <c r="W35" s="9">
        <f xml:space="preserve">  Time!W$28</f>
        <v>14</v>
      </c>
      <c r="X35" s="9">
        <f xml:space="preserve">  Time!X$28</f>
        <v>15</v>
      </c>
      <c r="Y35" s="9">
        <f xml:space="preserve">  Time!Y$28</f>
        <v>16</v>
      </c>
      <c r="Z35" s="9">
        <f xml:space="preserve">  Time!Z$28</f>
        <v>17</v>
      </c>
      <c r="AA35" s="9">
        <f xml:space="preserve">  Time!AA$28</f>
        <v>18</v>
      </c>
      <c r="AB35" s="9">
        <f xml:space="preserve">  Time!AB$28</f>
        <v>19</v>
      </c>
      <c r="AC35" s="9">
        <f xml:space="preserve">  Time!AC$28</f>
        <v>20</v>
      </c>
      <c r="AD35" s="9">
        <f xml:space="preserve">  Time!AD$28</f>
        <v>21</v>
      </c>
      <c r="AE35" s="9">
        <f xml:space="preserve">  Time!AE$28</f>
        <v>22</v>
      </c>
      <c r="AF35" s="9">
        <f xml:space="preserve">  Time!AF$28</f>
        <v>23</v>
      </c>
      <c r="AG35" s="9">
        <f xml:space="preserve">  Time!AG$28</f>
        <v>24</v>
      </c>
      <c r="AH35" s="9">
        <f xml:space="preserve">  Time!AH$28</f>
        <v>25</v>
      </c>
      <c r="AI35" s="9">
        <f xml:space="preserve">  Time!AI$28</f>
        <v>26</v>
      </c>
      <c r="AJ35" s="9">
        <f xml:space="preserve">  Time!AJ$28</f>
        <v>27</v>
      </c>
      <c r="AK35" s="9">
        <f xml:space="preserve">  Time!AK$28</f>
        <v>28</v>
      </c>
      <c r="AL35" s="9">
        <f xml:space="preserve">  Time!AL$28</f>
        <v>29</v>
      </c>
      <c r="AM35" s="9">
        <f xml:space="preserve">  Time!AM$28</f>
        <v>30</v>
      </c>
      <c r="AN35" s="9">
        <f xml:space="preserve">  Time!AN$28</f>
        <v>31</v>
      </c>
      <c r="AO35" s="9">
        <f xml:space="preserve">  Time!AO$28</f>
        <v>32</v>
      </c>
      <c r="AP35" s="9">
        <f xml:space="preserve">  Time!AP$28</f>
        <v>33</v>
      </c>
      <c r="AQ35" s="9">
        <f xml:space="preserve">  Time!AQ$28</f>
        <v>34</v>
      </c>
      <c r="AR35" s="9">
        <f xml:space="preserve">  Time!AR$28</f>
        <v>35</v>
      </c>
      <c r="AS35" s="9">
        <f xml:space="preserve">  Time!AS$28</f>
        <v>36</v>
      </c>
      <c r="AT35" s="9">
        <f xml:space="preserve">  Time!AT$28</f>
        <v>37</v>
      </c>
      <c r="AU35" s="9">
        <f xml:space="preserve">  Time!AU$28</f>
        <v>38</v>
      </c>
      <c r="AV35" s="9">
        <f xml:space="preserve">  Time!AV$28</f>
        <v>39</v>
      </c>
      <c r="AW35" s="9">
        <f xml:space="preserve">  Time!AW$28</f>
        <v>40</v>
      </c>
      <c r="AX35" s="9">
        <f xml:space="preserve">  Time!AX$28</f>
        <v>41</v>
      </c>
      <c r="AY35" s="9">
        <f xml:space="preserve">  Time!AY$28</f>
        <v>42</v>
      </c>
      <c r="AZ35" s="9">
        <f xml:space="preserve">  Time!AZ$28</f>
        <v>43</v>
      </c>
      <c r="BA35" s="9">
        <f xml:space="preserve">  Time!BA$28</f>
        <v>44</v>
      </c>
      <c r="BB35" s="9">
        <f xml:space="preserve">  Time!BB$28</f>
        <v>45</v>
      </c>
      <c r="BC35" s="9">
        <f xml:space="preserve">  Time!BC$28</f>
        <v>46</v>
      </c>
      <c r="BD35" s="9">
        <f xml:space="preserve">  Time!BD$28</f>
        <v>47</v>
      </c>
      <c r="BE35" s="9">
        <f xml:space="preserve">  Time!BE$28</f>
        <v>48</v>
      </c>
      <c r="BF35" s="9">
        <f xml:space="preserve">  Time!BF$28</f>
        <v>49</v>
      </c>
      <c r="BG35" s="9">
        <f xml:space="preserve">  Time!BG$28</f>
        <v>50</v>
      </c>
      <c r="BH35" s="9">
        <f xml:space="preserve">  Time!BH$28</f>
        <v>51</v>
      </c>
      <c r="BI35" s="9">
        <f xml:space="preserve">  Time!BI$28</f>
        <v>52</v>
      </c>
      <c r="BJ35" s="9">
        <f xml:space="preserve">  Time!BJ$28</f>
        <v>53</v>
      </c>
      <c r="BK35" s="9">
        <f xml:space="preserve">  Time!BK$28</f>
        <v>54</v>
      </c>
      <c r="BL35" s="9">
        <f xml:space="preserve">  Time!BL$28</f>
        <v>55</v>
      </c>
      <c r="BM35" s="9">
        <f xml:space="preserve">  Time!BM$28</f>
        <v>56</v>
      </c>
      <c r="BN35" s="9">
        <f xml:space="preserve">  Time!BN$28</f>
        <v>57</v>
      </c>
      <c r="BO35" s="9">
        <f xml:space="preserve">  Time!BO$28</f>
        <v>58</v>
      </c>
      <c r="BP35" s="9">
        <f xml:space="preserve">  Time!BP$28</f>
        <v>59</v>
      </c>
      <c r="BQ35" s="9">
        <f xml:space="preserve">  Time!BQ$28</f>
        <v>60</v>
      </c>
    </row>
    <row r="36" spans="1:69">
      <c r="E36" s="47" t="s">
        <v>40</v>
      </c>
      <c r="G36" s="47" t="s">
        <v>257</v>
      </c>
      <c r="J36" s="2">
        <f t="shared" ref="J36:BQ36" si="6" xml:space="preserve">  I38</f>
        <v>0</v>
      </c>
      <c r="K36" s="2">
        <f t="shared" ca="1" si="6"/>
        <v>-67000</v>
      </c>
      <c r="L36" s="2">
        <f t="shared" ca="1" si="6"/>
        <v>-141291.66666666669</v>
      </c>
      <c r="M36" s="2">
        <f t="shared" ca="1" si="6"/>
        <v>-131000.00000000001</v>
      </c>
      <c r="N36" s="2">
        <f t="shared" ca="1" si="6"/>
        <v>-86316.190184678868</v>
      </c>
      <c r="O36" s="2">
        <f t="shared" ca="1" si="6"/>
        <v>-90632.380369357721</v>
      </c>
      <c r="P36" s="2">
        <f t="shared" ca="1" si="6"/>
        <v>-89115.237220703246</v>
      </c>
      <c r="Q36" s="2">
        <f t="shared" ca="1" si="6"/>
        <v>64773.415582829301</v>
      </c>
      <c r="R36" s="2">
        <f t="shared" ca="1" si="6"/>
        <v>217914.02094222119</v>
      </c>
      <c r="S36" s="2">
        <f t="shared" ca="1" si="6"/>
        <v>441637.95963494637</v>
      </c>
      <c r="T36" s="2">
        <f t="shared" ca="1" si="6"/>
        <v>635685.01133885968</v>
      </c>
      <c r="U36" s="2">
        <f t="shared" ca="1" si="6"/>
        <v>1109732.0630427729</v>
      </c>
      <c r="V36" s="2">
        <f t="shared" ca="1" si="6"/>
        <v>1569195.781413353</v>
      </c>
      <c r="W36" s="2">
        <f t="shared" ca="1" si="6"/>
        <v>2283580.9815609911</v>
      </c>
      <c r="X36" s="2">
        <f t="shared" ca="1" si="6"/>
        <v>3219707.1906553181</v>
      </c>
      <c r="Y36" s="2">
        <f t="shared" ca="1" si="6"/>
        <v>4185003.7286681943</v>
      </c>
      <c r="Z36" s="2">
        <f t="shared" ca="1" si="6"/>
        <v>5413841.7299621366</v>
      </c>
      <c r="AA36" s="2">
        <f t="shared" ca="1" si="6"/>
        <v>6634134.8560638577</v>
      </c>
      <c r="AB36" s="2">
        <f t="shared" ca="1" si="6"/>
        <v>7848384.8658541311</v>
      </c>
      <c r="AC36" s="2">
        <f t="shared" ca="1" si="6"/>
        <v>9040668.2836797033</v>
      </c>
      <c r="AD36" s="2">
        <f t="shared" ca="1" si="6"/>
        <v>10225275.580356568</v>
      </c>
      <c r="AE36" s="2">
        <f t="shared" ca="1" si="6"/>
        <v>11379441.724905508</v>
      </c>
      <c r="AF36" s="2">
        <f t="shared" ca="1" si="6"/>
        <v>12656244.78818888</v>
      </c>
      <c r="AG36" s="2">
        <f t="shared" ca="1" si="6"/>
        <v>14047956.385039691</v>
      </c>
      <c r="AH36" s="2">
        <f t="shared" ca="1" si="6"/>
        <v>15546226.417618219</v>
      </c>
      <c r="AI36" s="2">
        <f t="shared" ca="1" si="6"/>
        <v>17238429.71334539</v>
      </c>
      <c r="AJ36" s="2">
        <f t="shared" ca="1" si="6"/>
        <v>19015632.027212001</v>
      </c>
      <c r="AK36" s="2">
        <f t="shared" ca="1" si="6"/>
        <v>21009282.998669647</v>
      </c>
      <c r="AL36" s="2">
        <f t="shared" ca="1" si="6"/>
        <v>23084752.841449108</v>
      </c>
      <c r="AM36" s="2">
        <f t="shared" ca="1" si="6"/>
        <v>25257444.965992115</v>
      </c>
      <c r="AN36" s="2">
        <f t="shared" ca="1" si="6"/>
        <v>27596550.857912228</v>
      </c>
      <c r="AO36" s="2">
        <f t="shared" ca="1" si="6"/>
        <v>30085299.134254608</v>
      </c>
      <c r="AP36" s="2">
        <f t="shared" ca="1" si="6"/>
        <v>32613423.501632906</v>
      </c>
      <c r="AQ36" s="2">
        <f t="shared" ca="1" si="6"/>
        <v>35389832.231422022</v>
      </c>
      <c r="AR36" s="2">
        <f t="shared" ca="1" si="6"/>
        <v>38250146.0315632</v>
      </c>
      <c r="AS36" s="2">
        <f t="shared" ca="1" si="6"/>
        <v>41347568.565505922</v>
      </c>
      <c r="AT36" s="2">
        <f t="shared" ca="1" si="6"/>
        <v>44665399.637570739</v>
      </c>
      <c r="AU36" s="2">
        <f t="shared" ca="1" si="6"/>
        <v>48330761.381771237</v>
      </c>
      <c r="AV36" s="2">
        <f t="shared" ca="1" si="6"/>
        <v>52185676.28537976</v>
      </c>
      <c r="AW36" s="2">
        <f t="shared" ca="1" si="6"/>
        <v>56358175.606421523</v>
      </c>
      <c r="AX36" s="2">
        <f t="shared" ca="1" si="6"/>
        <v>60974932.06467171</v>
      </c>
      <c r="AY36" s="2">
        <f t="shared" ca="1" si="6"/>
        <v>65883158.041314267</v>
      </c>
      <c r="AZ36" s="2">
        <f t="shared" ca="1" si="6"/>
        <v>71201328.556568488</v>
      </c>
      <c r="BA36" s="2">
        <f t="shared" ca="1" si="6"/>
        <v>76913701.384116963</v>
      </c>
      <c r="BB36" s="2">
        <f t="shared" ca="1" si="6"/>
        <v>83012254.393196777</v>
      </c>
      <c r="BC36" s="2">
        <f t="shared" ca="1" si="6"/>
        <v>89465477.893249333</v>
      </c>
      <c r="BD36" s="2">
        <f t="shared" ca="1" si="6"/>
        <v>96402050.642972469</v>
      </c>
      <c r="BE36" s="2">
        <f t="shared" ca="1" si="6"/>
        <v>103789070.17259805</v>
      </c>
      <c r="BF36" s="2">
        <f t="shared" ca="1" si="6"/>
        <v>111753699.20434938</v>
      </c>
      <c r="BG36" s="2">
        <f t="shared" ca="1" si="6"/>
        <v>120241447.85933785</v>
      </c>
      <c r="BH36" s="2">
        <f t="shared" ca="1" si="6"/>
        <v>129231706.99980903</v>
      </c>
      <c r="BI36" s="2">
        <f t="shared" ca="1" si="6"/>
        <v>138840539.14181334</v>
      </c>
      <c r="BJ36" s="2">
        <f t="shared" ca="1" si="6"/>
        <v>149027288.4580926</v>
      </c>
      <c r="BK36" s="2">
        <f t="shared" ca="1" si="6"/>
        <v>159862689.31115657</v>
      </c>
      <c r="BL36" s="2">
        <f t="shared" ca="1" si="6"/>
        <v>171313608.40811056</v>
      </c>
      <c r="BM36" s="2">
        <f t="shared" ca="1" si="6"/>
        <v>183489157.50317007</v>
      </c>
      <c r="BN36" s="2">
        <f t="shared" ca="1" si="6"/>
        <v>196293129.46129227</v>
      </c>
      <c r="BO36" s="2">
        <f t="shared" ca="1" si="6"/>
        <v>209841588.23469326</v>
      </c>
      <c r="BP36" s="2">
        <f t="shared" ca="1" si="6"/>
        <v>224223343.37584937</v>
      </c>
      <c r="BQ36" s="2">
        <f t="shared" ca="1" si="6"/>
        <v>239408429.57681036</v>
      </c>
    </row>
    <row r="37" spans="1:69">
      <c r="A37" s="18"/>
      <c r="B37" s="18"/>
      <c r="C37" s="28"/>
      <c r="D37" s="27" t="s">
        <v>220</v>
      </c>
      <c r="E37" s="4" t="str">
        <f xml:space="preserve">  'Income Statement'!E$22</f>
        <v>Retained Earnings this period</v>
      </c>
      <c r="F37" s="4">
        <f xml:space="preserve">  'Income Statement'!F$22</f>
        <v>0</v>
      </c>
      <c r="G37" s="4" t="str">
        <f xml:space="preserve">  'Income Statement'!G$22</f>
        <v>GBP</v>
      </c>
      <c r="H37" s="4">
        <f ca="1" xml:space="preserve">  'Income Statement'!H$22</f>
        <v>255482005.61535621</v>
      </c>
      <c r="I37" s="4">
        <f xml:space="preserve">  'Income Statement'!I$22</f>
        <v>0</v>
      </c>
      <c r="J37" s="4">
        <f ca="1" xml:space="preserve">  'Income Statement'!J$22</f>
        <v>-67000</v>
      </c>
      <c r="K37" s="4">
        <f ca="1" xml:space="preserve">  'Income Statement'!K$22</f>
        <v>-74291.666666666672</v>
      </c>
      <c r="L37" s="4">
        <f ca="1" xml:space="preserve">  'Income Statement'!L$22</f>
        <v>10291.666666666668</v>
      </c>
      <c r="M37" s="4">
        <f ca="1" xml:space="preserve">  'Income Statement'!M$22</f>
        <v>44683.809815321147</v>
      </c>
      <c r="N37" s="4">
        <f ca="1" xml:space="preserve">  'Income Statement'!N$22</f>
        <v>-4316.1901846788505</v>
      </c>
      <c r="O37" s="4">
        <f ca="1" xml:space="preserve">  'Income Statement'!O$22</f>
        <v>1517.1431486544825</v>
      </c>
      <c r="P37" s="4">
        <f ca="1" xml:space="preserve">  'Income Statement'!P$22</f>
        <v>153888.65280353255</v>
      </c>
      <c r="Q37" s="4">
        <f ca="1" xml:space="preserve">  'Income Statement'!Q$22</f>
        <v>153140.60535939189</v>
      </c>
      <c r="R37" s="4">
        <f ca="1" xml:space="preserve">  'Income Statement'!R$22</f>
        <v>223723.93869272518</v>
      </c>
      <c r="S37" s="4">
        <f ca="1" xml:space="preserve">  'Income Statement'!S$22</f>
        <v>194047.05170391328</v>
      </c>
      <c r="T37" s="4">
        <f ca="1" xml:space="preserve">  'Income Statement'!T$22</f>
        <v>474047.05170391325</v>
      </c>
      <c r="U37" s="4">
        <f ca="1" xml:space="preserve">  'Income Statement'!U$22</f>
        <v>459463.71837058</v>
      </c>
      <c r="V37" s="4">
        <f ca="1" xml:space="preserve">  'Income Statement'!V$22</f>
        <v>714385.20014763833</v>
      </c>
      <c r="W37" s="4">
        <f ca="1" xml:space="preserve">  'Income Statement'!W$22</f>
        <v>936126.20909432671</v>
      </c>
      <c r="X37" s="4">
        <f ca="1" xml:space="preserve">  'Income Statement'!X$22</f>
        <v>965296.53801287606</v>
      </c>
      <c r="Y37" s="4">
        <f ca="1" xml:space="preserve">  'Income Statement'!Y$22</f>
        <v>1228838.0012939419</v>
      </c>
      <c r="Z37" s="4">
        <f ca="1" xml:space="preserve">  'Income Statement'!Z$22</f>
        <v>1220293.1261017206</v>
      </c>
      <c r="AA37" s="4">
        <f ca="1" xml:space="preserve">  'Income Statement'!AA$22</f>
        <v>1214250.0097902729</v>
      </c>
      <c r="AB37" s="4">
        <f ca="1" xml:space="preserve">  'Income Statement'!AB$22</f>
        <v>1192283.4178255722</v>
      </c>
      <c r="AC37" s="4">
        <f ca="1" xml:space="preserve">  'Income Statement'!AC$22</f>
        <v>1184607.2966768641</v>
      </c>
      <c r="AD37" s="4">
        <f ca="1" xml:space="preserve">  'Income Statement'!AD$22</f>
        <v>1154166.1445489402</v>
      </c>
      <c r="AE37" s="4">
        <f ca="1" xml:space="preserve">  'Income Statement'!AE$22</f>
        <v>1276803.0632833731</v>
      </c>
      <c r="AF37" s="4">
        <f ca="1" xml:space="preserve">  'Income Statement'!AF$22</f>
        <v>1391711.5968508115</v>
      </c>
      <c r="AG37" s="4">
        <f ca="1" xml:space="preserve">  'Income Statement'!AG$22</f>
        <v>1498270.0325785272</v>
      </c>
      <c r="AH37" s="4">
        <f ca="1" xml:space="preserve">  'Income Statement'!AH$22</f>
        <v>1692203.2957271717</v>
      </c>
      <c r="AI37" s="4">
        <f ca="1" xml:space="preserve">  'Income Statement'!AI$22</f>
        <v>1777202.313866612</v>
      </c>
      <c r="AJ37" s="4">
        <f ca="1" xml:space="preserve">  'Income Statement'!AJ$22</f>
        <v>1993650.9714576467</v>
      </c>
      <c r="AK37" s="4">
        <f ca="1" xml:space="preserve">  'Income Statement'!AK$22</f>
        <v>2075469.8427794622</v>
      </c>
      <c r="AL37" s="4">
        <f ca="1" xml:space="preserve">  'Income Statement'!AL$22</f>
        <v>2172692.1245430079</v>
      </c>
      <c r="AM37" s="4">
        <f ca="1" xml:space="preserve">  'Income Statement'!AM$22</f>
        <v>2339105.8919201125</v>
      </c>
      <c r="AN37" s="4">
        <f ca="1" xml:space="preserve">  'Income Statement'!AN$22</f>
        <v>2488748.2763423822</v>
      </c>
      <c r="AO37" s="4">
        <f ca="1" xml:space="preserve">  'Income Statement'!AO$22</f>
        <v>2528124.3673782991</v>
      </c>
      <c r="AP37" s="4">
        <f ca="1" xml:space="preserve">  'Income Statement'!AP$22</f>
        <v>2776408.7297891183</v>
      </c>
      <c r="AQ37" s="4">
        <f ca="1" xml:space="preserve">  'Income Statement'!AQ$22</f>
        <v>2860313.8001411781</v>
      </c>
      <c r="AR37" s="4">
        <f ca="1" xml:space="preserve">  'Income Statement'!AR$22</f>
        <v>3097422.5339427213</v>
      </c>
      <c r="AS37" s="4">
        <f ca="1" xml:space="preserve">  'Income Statement'!AS$22</f>
        <v>3317831.0720648207</v>
      </c>
      <c r="AT37" s="4">
        <f ca="1" xml:space="preserve">  'Income Statement'!AT$22</f>
        <v>3665361.7442005016</v>
      </c>
      <c r="AU37" s="4">
        <f ca="1" xml:space="preserve">  'Income Statement'!AU$22</f>
        <v>3854914.9036085214</v>
      </c>
      <c r="AV37" s="4">
        <f ca="1" xml:space="preserve">  'Income Statement'!AV$22</f>
        <v>4172499.3210417647</v>
      </c>
      <c r="AW37" s="4">
        <f ca="1" xml:space="preserve">  'Income Statement'!AW$22</f>
        <v>4616756.4582501911</v>
      </c>
      <c r="AX37" s="4">
        <f ca="1" xml:space="preserve">  'Income Statement'!AX$22</f>
        <v>4908225.9766425565</v>
      </c>
      <c r="AY37" s="4">
        <f ca="1" xml:space="preserve">  'Income Statement'!AY$22</f>
        <v>5318170.51525422</v>
      </c>
      <c r="AZ37" s="4">
        <f ca="1" xml:space="preserve">  'Income Statement'!AZ$22</f>
        <v>5712372.8275484778</v>
      </c>
      <c r="BA37" s="4">
        <f ca="1" xml:space="preserve">  'Income Statement'!BA$22</f>
        <v>6098553.0090798195</v>
      </c>
      <c r="BB37" s="4">
        <f ca="1" xml:space="preserve">  'Income Statement'!BB$22</f>
        <v>6453223.5000525527</v>
      </c>
      <c r="BC37" s="4">
        <f ca="1" xml:space="preserve">  'Income Statement'!BC$22</f>
        <v>6936572.7497231318</v>
      </c>
      <c r="BD37" s="4">
        <f ca="1" xml:space="preserve">  'Income Statement'!BD$22</f>
        <v>7387019.5296255844</v>
      </c>
      <c r="BE37" s="4">
        <f ca="1" xml:space="preserve">  'Income Statement'!BE$22</f>
        <v>7964629.0317513328</v>
      </c>
      <c r="BF37" s="4">
        <f ca="1" xml:space="preserve">  'Income Statement'!BF$22</f>
        <v>8487748.6549884621</v>
      </c>
      <c r="BG37" s="4">
        <f ca="1" xml:space="preserve">  'Income Statement'!BG$22</f>
        <v>8990259.1404711679</v>
      </c>
      <c r="BH37" s="4">
        <f ca="1" xml:space="preserve">  'Income Statement'!BH$22</f>
        <v>9608832.1420043241</v>
      </c>
      <c r="BI37" s="4">
        <f ca="1" xml:space="preserve">  'Income Statement'!BI$22</f>
        <v>10186749.316279249</v>
      </c>
      <c r="BJ37" s="4">
        <f ca="1" xml:space="preserve">  'Income Statement'!BJ$22</f>
        <v>10835400.853063984</v>
      </c>
      <c r="BK37" s="4">
        <f ca="1" xml:space="preserve">  'Income Statement'!BK$22</f>
        <v>11450919.096953975</v>
      </c>
      <c r="BL37" s="4">
        <f ca="1" xml:space="preserve">  'Income Statement'!BL$22</f>
        <v>12175549.095059501</v>
      </c>
      <c r="BM37" s="4">
        <f ca="1" xml:space="preserve">  'Income Statement'!BM$22</f>
        <v>12803971.958122181</v>
      </c>
      <c r="BN37" s="4">
        <f ca="1" xml:space="preserve">  'Income Statement'!BN$22</f>
        <v>13548458.773400983</v>
      </c>
      <c r="BO37" s="4">
        <f ca="1" xml:space="preserve">  'Income Statement'!BO$22</f>
        <v>14381755.1411561</v>
      </c>
      <c r="BP37" s="4">
        <f ca="1" xml:space="preserve">  'Income Statement'!BP$22</f>
        <v>15185086.200961007</v>
      </c>
      <c r="BQ37" s="4">
        <f ca="1" xml:space="preserve">  'Income Statement'!BQ$22</f>
        <v>16073576.038545832</v>
      </c>
    </row>
    <row r="38" spans="1:69" s="86" customFormat="1">
      <c r="A38" s="63"/>
      <c r="B38" s="63"/>
      <c r="C38" s="89"/>
      <c r="D38" s="91"/>
      <c r="E38" s="33" t="s">
        <v>12</v>
      </c>
      <c r="F38" s="33"/>
      <c r="G38" s="33" t="s">
        <v>257</v>
      </c>
      <c r="H38" s="33"/>
      <c r="I38" s="11">
        <f t="shared" ref="I38:BQ38" si="7" xml:space="preserve">  IF( I35 = 0, $F34, I36 + I37 )</f>
        <v>0</v>
      </c>
      <c r="J38" s="11">
        <f t="shared" ca="1" si="7"/>
        <v>-67000</v>
      </c>
      <c r="K38" s="11">
        <f t="shared" ca="1" si="7"/>
        <v>-141291.66666666669</v>
      </c>
      <c r="L38" s="11">
        <f t="shared" ca="1" si="7"/>
        <v>-131000.00000000001</v>
      </c>
      <c r="M38" s="11">
        <f t="shared" ca="1" si="7"/>
        <v>-86316.190184678868</v>
      </c>
      <c r="N38" s="11">
        <f t="shared" ca="1" si="7"/>
        <v>-90632.380369357721</v>
      </c>
      <c r="O38" s="11">
        <f t="shared" ca="1" si="7"/>
        <v>-89115.237220703246</v>
      </c>
      <c r="P38" s="11">
        <f t="shared" ca="1" si="7"/>
        <v>64773.415582829301</v>
      </c>
      <c r="Q38" s="11">
        <f t="shared" ca="1" si="7"/>
        <v>217914.02094222119</v>
      </c>
      <c r="R38" s="11">
        <f t="shared" ca="1" si="7"/>
        <v>441637.95963494637</v>
      </c>
      <c r="S38" s="11">
        <f t="shared" ca="1" si="7"/>
        <v>635685.01133885968</v>
      </c>
      <c r="T38" s="11">
        <f t="shared" ca="1" si="7"/>
        <v>1109732.0630427729</v>
      </c>
      <c r="U38" s="11">
        <f t="shared" ca="1" si="7"/>
        <v>1569195.781413353</v>
      </c>
      <c r="V38" s="11">
        <f t="shared" ca="1" si="7"/>
        <v>2283580.9815609911</v>
      </c>
      <c r="W38" s="11">
        <f t="shared" ca="1" si="7"/>
        <v>3219707.1906553181</v>
      </c>
      <c r="X38" s="11">
        <f t="shared" ca="1" si="7"/>
        <v>4185003.7286681943</v>
      </c>
      <c r="Y38" s="11">
        <f t="shared" ca="1" si="7"/>
        <v>5413841.7299621366</v>
      </c>
      <c r="Z38" s="11">
        <f t="shared" ca="1" si="7"/>
        <v>6634134.8560638577</v>
      </c>
      <c r="AA38" s="11">
        <f t="shared" ca="1" si="7"/>
        <v>7848384.8658541311</v>
      </c>
      <c r="AB38" s="11">
        <f t="shared" ca="1" si="7"/>
        <v>9040668.2836797033</v>
      </c>
      <c r="AC38" s="11">
        <f t="shared" ca="1" si="7"/>
        <v>10225275.580356568</v>
      </c>
      <c r="AD38" s="11">
        <f t="shared" ca="1" si="7"/>
        <v>11379441.724905508</v>
      </c>
      <c r="AE38" s="11">
        <f t="shared" ca="1" si="7"/>
        <v>12656244.78818888</v>
      </c>
      <c r="AF38" s="11">
        <f t="shared" ca="1" si="7"/>
        <v>14047956.385039691</v>
      </c>
      <c r="AG38" s="11">
        <f t="shared" ca="1" si="7"/>
        <v>15546226.417618219</v>
      </c>
      <c r="AH38" s="11">
        <f t="shared" ca="1" si="7"/>
        <v>17238429.71334539</v>
      </c>
      <c r="AI38" s="11">
        <f t="shared" ca="1" si="7"/>
        <v>19015632.027212001</v>
      </c>
      <c r="AJ38" s="11">
        <f t="shared" ca="1" si="7"/>
        <v>21009282.998669647</v>
      </c>
      <c r="AK38" s="11">
        <f t="shared" ca="1" si="7"/>
        <v>23084752.841449108</v>
      </c>
      <c r="AL38" s="11">
        <f t="shared" ca="1" si="7"/>
        <v>25257444.965992115</v>
      </c>
      <c r="AM38" s="11">
        <f t="shared" ca="1" si="7"/>
        <v>27596550.857912228</v>
      </c>
      <c r="AN38" s="11">
        <f t="shared" ca="1" si="7"/>
        <v>30085299.134254608</v>
      </c>
      <c r="AO38" s="11">
        <f t="shared" ca="1" si="7"/>
        <v>32613423.501632906</v>
      </c>
      <c r="AP38" s="11">
        <f t="shared" ca="1" si="7"/>
        <v>35389832.231422022</v>
      </c>
      <c r="AQ38" s="11">
        <f t="shared" ca="1" si="7"/>
        <v>38250146.0315632</v>
      </c>
      <c r="AR38" s="11">
        <f t="shared" ca="1" si="7"/>
        <v>41347568.565505922</v>
      </c>
      <c r="AS38" s="11">
        <f t="shared" ca="1" si="7"/>
        <v>44665399.637570739</v>
      </c>
      <c r="AT38" s="11">
        <f t="shared" ca="1" si="7"/>
        <v>48330761.381771237</v>
      </c>
      <c r="AU38" s="11">
        <f t="shared" ca="1" si="7"/>
        <v>52185676.28537976</v>
      </c>
      <c r="AV38" s="11">
        <f t="shared" ca="1" si="7"/>
        <v>56358175.606421523</v>
      </c>
      <c r="AW38" s="11">
        <f t="shared" ca="1" si="7"/>
        <v>60974932.06467171</v>
      </c>
      <c r="AX38" s="11">
        <f t="shared" ca="1" si="7"/>
        <v>65883158.041314267</v>
      </c>
      <c r="AY38" s="11">
        <f t="shared" ca="1" si="7"/>
        <v>71201328.556568488</v>
      </c>
      <c r="AZ38" s="11">
        <f t="shared" ca="1" si="7"/>
        <v>76913701.384116963</v>
      </c>
      <c r="BA38" s="11">
        <f t="shared" ca="1" si="7"/>
        <v>83012254.393196777</v>
      </c>
      <c r="BB38" s="11">
        <f t="shared" ca="1" si="7"/>
        <v>89465477.893249333</v>
      </c>
      <c r="BC38" s="11">
        <f t="shared" ca="1" si="7"/>
        <v>96402050.642972469</v>
      </c>
      <c r="BD38" s="11">
        <f t="shared" ca="1" si="7"/>
        <v>103789070.17259805</v>
      </c>
      <c r="BE38" s="11">
        <f t="shared" ca="1" si="7"/>
        <v>111753699.20434938</v>
      </c>
      <c r="BF38" s="11">
        <f t="shared" ca="1" si="7"/>
        <v>120241447.85933785</v>
      </c>
      <c r="BG38" s="11">
        <f t="shared" ca="1" si="7"/>
        <v>129231706.99980903</v>
      </c>
      <c r="BH38" s="11">
        <f t="shared" ca="1" si="7"/>
        <v>138840539.14181334</v>
      </c>
      <c r="BI38" s="11">
        <f t="shared" ca="1" si="7"/>
        <v>149027288.4580926</v>
      </c>
      <c r="BJ38" s="11">
        <f t="shared" ca="1" si="7"/>
        <v>159862689.31115657</v>
      </c>
      <c r="BK38" s="11">
        <f t="shared" ca="1" si="7"/>
        <v>171313608.40811056</v>
      </c>
      <c r="BL38" s="11">
        <f t="shared" ca="1" si="7"/>
        <v>183489157.50317007</v>
      </c>
      <c r="BM38" s="11">
        <f t="shared" ca="1" si="7"/>
        <v>196293129.46129227</v>
      </c>
      <c r="BN38" s="11">
        <f t="shared" ca="1" si="7"/>
        <v>209841588.23469326</v>
      </c>
      <c r="BO38" s="11">
        <f t="shared" ca="1" si="7"/>
        <v>224223343.37584937</v>
      </c>
      <c r="BP38" s="11">
        <f t="shared" ca="1" si="7"/>
        <v>239408429.57681036</v>
      </c>
      <c r="BQ38" s="11">
        <f t="shared" ca="1" si="7"/>
        <v>255482005.61535621</v>
      </c>
    </row>
    <row r="41" spans="1:69">
      <c r="B41" s="25" t="s">
        <v>271</v>
      </c>
    </row>
  </sheetData>
  <conditionalFormatting sqref="F2:F3">
    <cfRule type="cellIs" dxfId="245" priority="1" stopIfTrue="1" operator="notEqual">
      <formula>0</formula>
    </cfRule>
    <cfRule type="cellIs" dxfId="244" priority="2" stopIfTrue="1" operator="equal">
      <formula>""</formula>
    </cfRule>
  </conditionalFormatting>
  <conditionalFormatting sqref="J3:BQ3">
    <cfRule type="cellIs" dxfId="243" priority="8" operator="equal">
      <formula>"PPA ext."</formula>
    </cfRule>
    <cfRule type="cellIs" dxfId="242" priority="9" operator="equal">
      <formula>"Delay"</formula>
    </cfRule>
    <cfRule type="cellIs" dxfId="241" priority="10" operator="equal">
      <formula>"Fin Close"</formula>
    </cfRule>
    <cfRule type="cellIs" dxfId="240" priority="11" stopIfTrue="1" operator="equal">
      <formula>"Construction"</formula>
    </cfRule>
    <cfRule type="cellIs" dxfId="23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sheetPr>
  <dimension ref="A1:BQ4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8.33203125" style="47" bestFit="1" customWidth="1"/>
    <col min="6" max="6" width="20.5546875" style="47" bestFit="1" customWidth="1"/>
    <col min="7" max="7" width="13.21875" style="47" bestFit="1" customWidth="1"/>
    <col min="8" max="8" width="16.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Customers</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80</v>
      </c>
    </row>
    <row r="9" spans="1:69" outlineLevel="1">
      <c r="A9" s="18"/>
      <c r="B9" s="18"/>
      <c r="C9" s="28"/>
      <c r="D9" s="27"/>
      <c r="E9" s="4" t="str">
        <f xml:space="preserve">  InpC!E$16</f>
        <v>Customer base order number</v>
      </c>
      <c r="F9" s="4">
        <f xml:space="preserve">  InpC!F$16</f>
        <v>500</v>
      </c>
      <c r="G9" s="4" t="str">
        <f xml:space="preserve">  InpC!G$16</f>
        <v>Units</v>
      </c>
      <c r="M9" s="2"/>
    </row>
    <row r="10" spans="1:69" outlineLevel="1">
      <c r="A10" s="18"/>
      <c r="B10" s="18"/>
      <c r="C10" s="28"/>
      <c r="D10" s="27"/>
      <c r="E10" s="43" t="str">
        <f xml:space="preserve">  Time!E$170</f>
        <v>Monthly Growth Rate</v>
      </c>
      <c r="F10" s="43">
        <f xml:space="preserve">  Time!F$170</f>
        <v>5.946309435929531E-2</v>
      </c>
      <c r="G10" s="43" t="str">
        <f xml:space="preserve">  Time!G$170</f>
        <v>%</v>
      </c>
      <c r="M10" s="57"/>
    </row>
    <row r="11" spans="1:69" outlineLevel="1">
      <c r="A11" s="18"/>
      <c r="B11" s="18"/>
      <c r="C11" s="28"/>
      <c r="D11" s="27"/>
      <c r="E11" s="4" t="str">
        <f xml:space="preserve">  InpS!E$16</f>
        <v>STF New Customer orders</v>
      </c>
      <c r="F11" s="4">
        <f xml:space="preserve">  InpS!F$16</f>
        <v>0</v>
      </c>
      <c r="G11" s="4" t="str">
        <f xml:space="preserve">  InpS!G$16</f>
        <v>GBP</v>
      </c>
      <c r="H11" s="4">
        <f xml:space="preserve">  InpS!H$16</f>
        <v>38000</v>
      </c>
      <c r="I11" s="4">
        <f xml:space="preserve">  InpS!I$16</f>
        <v>0</v>
      </c>
      <c r="J11" s="4">
        <f xml:space="preserve">  InpS!J$16</f>
        <v>1000</v>
      </c>
      <c r="K11" s="4">
        <f xml:space="preserve">  InpS!K$16</f>
        <v>1000</v>
      </c>
      <c r="L11" s="4">
        <f xml:space="preserve">  InpS!L$16</f>
        <v>1000</v>
      </c>
      <c r="M11" s="4">
        <f xml:space="preserve">  InpS!M$16</f>
        <v>1000</v>
      </c>
      <c r="N11" s="4">
        <f xml:space="preserve">  InpS!N$16</f>
        <v>3000</v>
      </c>
      <c r="O11" s="4">
        <f xml:space="preserve">  InpS!O$16</f>
        <v>3000</v>
      </c>
      <c r="P11" s="4">
        <f xml:space="preserve">  InpS!P$16</f>
        <v>3000</v>
      </c>
      <c r="Q11" s="4">
        <f xml:space="preserve">  InpS!Q$16</f>
        <v>5000</v>
      </c>
      <c r="R11" s="4">
        <f xml:space="preserve">  InpS!R$16</f>
        <v>5000</v>
      </c>
      <c r="S11" s="4">
        <f xml:space="preserve">  InpS!S$16</f>
        <v>5000</v>
      </c>
      <c r="T11" s="4">
        <f xml:space="preserve">  InpS!T$16</f>
        <v>5000</v>
      </c>
      <c r="U11" s="4">
        <f xml:space="preserve">  InpS!U$16</f>
        <v>5000</v>
      </c>
      <c r="V11" s="4">
        <f xml:space="preserve">  InpS!V$16</f>
        <v>0</v>
      </c>
      <c r="W11" s="4">
        <f xml:space="preserve">  InpS!W$16</f>
        <v>0</v>
      </c>
      <c r="X11" s="4">
        <f xml:space="preserve">  InpS!X$16</f>
        <v>0</v>
      </c>
      <c r="Y11" s="4">
        <f xml:space="preserve">  InpS!Y$16</f>
        <v>0</v>
      </c>
      <c r="Z11" s="4">
        <f xml:space="preserve">  InpS!Z$16</f>
        <v>0</v>
      </c>
      <c r="AA11" s="4">
        <f xml:space="preserve">  InpS!AA$16</f>
        <v>0</v>
      </c>
      <c r="AB11" s="4">
        <f xml:space="preserve">  InpS!AB$16</f>
        <v>0</v>
      </c>
      <c r="AC11" s="4">
        <f xml:space="preserve">  InpS!AC$16</f>
        <v>0</v>
      </c>
      <c r="AD11" s="4">
        <f xml:space="preserve">  InpS!AD$16</f>
        <v>0</v>
      </c>
      <c r="AE11" s="4">
        <f xml:space="preserve">  InpS!AE$16</f>
        <v>0</v>
      </c>
      <c r="AF11" s="4">
        <f xml:space="preserve">  InpS!AF$16</f>
        <v>0</v>
      </c>
      <c r="AG11" s="4">
        <f xml:space="preserve">  InpS!AG$16</f>
        <v>0</v>
      </c>
      <c r="AH11" s="4">
        <f xml:space="preserve">  InpS!AH$16</f>
        <v>0</v>
      </c>
      <c r="AI11" s="4">
        <f xml:space="preserve">  InpS!AI$16</f>
        <v>0</v>
      </c>
      <c r="AJ11" s="4">
        <f xml:space="preserve">  InpS!AJ$16</f>
        <v>0</v>
      </c>
      <c r="AK11" s="4">
        <f xml:space="preserve">  InpS!AK$16</f>
        <v>0</v>
      </c>
      <c r="AL11" s="4">
        <f xml:space="preserve">  InpS!AL$16</f>
        <v>0</v>
      </c>
      <c r="AM11" s="4">
        <f xml:space="preserve">  InpS!AM$16</f>
        <v>0</v>
      </c>
      <c r="AN11" s="4">
        <f xml:space="preserve">  InpS!AN$16</f>
        <v>0</v>
      </c>
      <c r="AO11" s="4">
        <f xml:space="preserve">  InpS!AO$16</f>
        <v>0</v>
      </c>
      <c r="AP11" s="4">
        <f xml:space="preserve">  InpS!AP$16</f>
        <v>0</v>
      </c>
      <c r="AQ11" s="4">
        <f xml:space="preserve">  InpS!AQ$16</f>
        <v>0</v>
      </c>
      <c r="AR11" s="4">
        <f xml:space="preserve">  InpS!AR$16</f>
        <v>0</v>
      </c>
      <c r="AS11" s="4">
        <f xml:space="preserve">  InpS!AS$16</f>
        <v>0</v>
      </c>
      <c r="AT11" s="4">
        <f xml:space="preserve">  InpS!AT$16</f>
        <v>0</v>
      </c>
      <c r="AU11" s="4">
        <f xml:space="preserve">  InpS!AU$16</f>
        <v>0</v>
      </c>
      <c r="AV11" s="4">
        <f xml:space="preserve">  InpS!AV$16</f>
        <v>0</v>
      </c>
      <c r="AW11" s="4">
        <f xml:space="preserve">  InpS!AW$16</f>
        <v>0</v>
      </c>
      <c r="AX11" s="4">
        <f xml:space="preserve">  InpS!AX$16</f>
        <v>0</v>
      </c>
      <c r="AY11" s="4">
        <f xml:space="preserve">  InpS!AY$16</f>
        <v>0</v>
      </c>
      <c r="AZ11" s="4">
        <f xml:space="preserve">  InpS!AZ$16</f>
        <v>0</v>
      </c>
      <c r="BA11" s="4">
        <f xml:space="preserve">  InpS!BA$16</f>
        <v>0</v>
      </c>
      <c r="BB11" s="4">
        <f xml:space="preserve">  InpS!BB$16</f>
        <v>0</v>
      </c>
      <c r="BC11" s="4">
        <f xml:space="preserve">  InpS!BC$16</f>
        <v>0</v>
      </c>
      <c r="BD11" s="4">
        <f xml:space="preserve">  InpS!BD$16</f>
        <v>0</v>
      </c>
      <c r="BE11" s="4">
        <f xml:space="preserve">  InpS!BE$16</f>
        <v>0</v>
      </c>
      <c r="BF11" s="4">
        <f xml:space="preserve">  InpS!BF$16</f>
        <v>0</v>
      </c>
      <c r="BG11" s="4">
        <f xml:space="preserve">  InpS!BG$16</f>
        <v>0</v>
      </c>
      <c r="BH11" s="4">
        <f xml:space="preserve">  InpS!BH$16</f>
        <v>0</v>
      </c>
      <c r="BI11" s="4">
        <f xml:space="preserve">  InpS!BI$16</f>
        <v>0</v>
      </c>
      <c r="BJ11" s="4">
        <f xml:space="preserve">  InpS!BJ$16</f>
        <v>0</v>
      </c>
      <c r="BK11" s="4">
        <f xml:space="preserve">  InpS!BK$16</f>
        <v>0</v>
      </c>
      <c r="BL11" s="4">
        <f xml:space="preserve">  InpS!BL$16</f>
        <v>0</v>
      </c>
      <c r="BM11" s="4">
        <f xml:space="preserve">  InpS!BM$16</f>
        <v>0</v>
      </c>
      <c r="BN11" s="4">
        <f xml:space="preserve">  InpS!BN$16</f>
        <v>0</v>
      </c>
      <c r="BO11" s="4">
        <f xml:space="preserve">  InpS!BO$16</f>
        <v>0</v>
      </c>
      <c r="BP11" s="4">
        <f xml:space="preserve">  InpS!BP$16</f>
        <v>0</v>
      </c>
      <c r="BQ11" s="4">
        <f xml:space="preserve">  InpS!BQ$16</f>
        <v>0</v>
      </c>
    </row>
    <row r="12" spans="1:69" outlineLevel="1">
      <c r="A12" s="18"/>
      <c r="B12" s="18"/>
      <c r="C12" s="28"/>
      <c r="D12" s="27"/>
      <c r="E12" s="9" t="str">
        <f xml:space="preserve">  Time!E$28</f>
        <v>Period number</v>
      </c>
      <c r="F12" s="9">
        <f xml:space="preserve">  Time!F$28</f>
        <v>0</v>
      </c>
      <c r="G12" s="9" t="str">
        <f xml:space="preserve">  Time!G$28</f>
        <v>Counter</v>
      </c>
      <c r="H12" s="9">
        <f xml:space="preserve">  Time!H$28</f>
        <v>0</v>
      </c>
      <c r="I12" s="9">
        <f xml:space="preserve">  Time!I$28</f>
        <v>0</v>
      </c>
      <c r="J12" s="9">
        <f xml:space="preserve">  Time!J$28</f>
        <v>1</v>
      </c>
      <c r="K12" s="9">
        <f xml:space="preserve">  Time!K$28</f>
        <v>2</v>
      </c>
      <c r="L12" s="9">
        <f xml:space="preserve">  Time!L$28</f>
        <v>3</v>
      </c>
      <c r="M12" s="9">
        <f xml:space="preserve">  Time!M$28</f>
        <v>4</v>
      </c>
      <c r="N12" s="9">
        <f xml:space="preserve">  Time!N$28</f>
        <v>5</v>
      </c>
      <c r="O12" s="9">
        <f xml:space="preserve">  Time!O$28</f>
        <v>6</v>
      </c>
      <c r="P12" s="9">
        <f xml:space="preserve">  Time!P$28</f>
        <v>7</v>
      </c>
      <c r="Q12" s="9">
        <f xml:space="preserve">  Time!Q$28</f>
        <v>8</v>
      </c>
      <c r="R12" s="9">
        <f xml:space="preserve">  Time!R$28</f>
        <v>9</v>
      </c>
      <c r="S12" s="9">
        <f xml:space="preserve">  Time!S$28</f>
        <v>10</v>
      </c>
      <c r="T12" s="9">
        <f xml:space="preserve">  Time!T$28</f>
        <v>11</v>
      </c>
      <c r="U12" s="9">
        <f xml:space="preserve">  Time!U$28</f>
        <v>12</v>
      </c>
      <c r="V12" s="9">
        <f xml:space="preserve">  Time!V$28</f>
        <v>13</v>
      </c>
      <c r="W12" s="9">
        <f xml:space="preserve">  Time!W$28</f>
        <v>14</v>
      </c>
      <c r="X12" s="9">
        <f xml:space="preserve">  Time!X$28</f>
        <v>15</v>
      </c>
      <c r="Y12" s="9">
        <f xml:space="preserve">  Time!Y$28</f>
        <v>16</v>
      </c>
      <c r="Z12" s="9">
        <f xml:space="preserve">  Time!Z$28</f>
        <v>17</v>
      </c>
      <c r="AA12" s="9">
        <f xml:space="preserve">  Time!AA$28</f>
        <v>18</v>
      </c>
      <c r="AB12" s="9">
        <f xml:space="preserve">  Time!AB$28</f>
        <v>19</v>
      </c>
      <c r="AC12" s="9">
        <f xml:space="preserve">  Time!AC$28</f>
        <v>20</v>
      </c>
      <c r="AD12" s="9">
        <f xml:space="preserve">  Time!AD$28</f>
        <v>21</v>
      </c>
      <c r="AE12" s="9">
        <f xml:space="preserve">  Time!AE$28</f>
        <v>22</v>
      </c>
      <c r="AF12" s="9">
        <f xml:space="preserve">  Time!AF$28</f>
        <v>23</v>
      </c>
      <c r="AG12" s="9">
        <f xml:space="preserve">  Time!AG$28</f>
        <v>24</v>
      </c>
      <c r="AH12" s="9">
        <f xml:space="preserve">  Time!AH$28</f>
        <v>25</v>
      </c>
      <c r="AI12" s="9">
        <f xml:space="preserve">  Time!AI$28</f>
        <v>26</v>
      </c>
      <c r="AJ12" s="9">
        <f xml:space="preserve">  Time!AJ$28</f>
        <v>27</v>
      </c>
      <c r="AK12" s="9">
        <f xml:space="preserve">  Time!AK$28</f>
        <v>28</v>
      </c>
      <c r="AL12" s="9">
        <f xml:space="preserve">  Time!AL$28</f>
        <v>29</v>
      </c>
      <c r="AM12" s="9">
        <f xml:space="preserve">  Time!AM$28</f>
        <v>30</v>
      </c>
      <c r="AN12" s="9">
        <f xml:space="preserve">  Time!AN$28</f>
        <v>31</v>
      </c>
      <c r="AO12" s="9">
        <f xml:space="preserve">  Time!AO$28</f>
        <v>32</v>
      </c>
      <c r="AP12" s="9">
        <f xml:space="preserve">  Time!AP$28</f>
        <v>33</v>
      </c>
      <c r="AQ12" s="9">
        <f xml:space="preserve">  Time!AQ$28</f>
        <v>34</v>
      </c>
      <c r="AR12" s="9">
        <f xml:space="preserve">  Time!AR$28</f>
        <v>35</v>
      </c>
      <c r="AS12" s="9">
        <f xml:space="preserve">  Time!AS$28</f>
        <v>36</v>
      </c>
      <c r="AT12" s="9">
        <f xml:space="preserve">  Time!AT$28</f>
        <v>37</v>
      </c>
      <c r="AU12" s="9">
        <f xml:space="preserve">  Time!AU$28</f>
        <v>38</v>
      </c>
      <c r="AV12" s="9">
        <f xml:space="preserve">  Time!AV$28</f>
        <v>39</v>
      </c>
      <c r="AW12" s="9">
        <f xml:space="preserve">  Time!AW$28</f>
        <v>40</v>
      </c>
      <c r="AX12" s="9">
        <f xml:space="preserve">  Time!AX$28</f>
        <v>41</v>
      </c>
      <c r="AY12" s="9">
        <f xml:space="preserve">  Time!AY$28</f>
        <v>42</v>
      </c>
      <c r="AZ12" s="9">
        <f xml:space="preserve">  Time!AZ$28</f>
        <v>43</v>
      </c>
      <c r="BA12" s="9">
        <f xml:space="preserve">  Time!BA$28</f>
        <v>44</v>
      </c>
      <c r="BB12" s="9">
        <f xml:space="preserve">  Time!BB$28</f>
        <v>45</v>
      </c>
      <c r="BC12" s="9">
        <f xml:space="preserve">  Time!BC$28</f>
        <v>46</v>
      </c>
      <c r="BD12" s="9">
        <f xml:space="preserve">  Time!BD$28</f>
        <v>47</v>
      </c>
      <c r="BE12" s="9">
        <f xml:space="preserve">  Time!BE$28</f>
        <v>48</v>
      </c>
      <c r="BF12" s="9">
        <f xml:space="preserve">  Time!BF$28</f>
        <v>49</v>
      </c>
      <c r="BG12" s="9">
        <f xml:space="preserve">  Time!BG$28</f>
        <v>50</v>
      </c>
      <c r="BH12" s="9">
        <f xml:space="preserve">  Time!BH$28</f>
        <v>51</v>
      </c>
      <c r="BI12" s="9">
        <f xml:space="preserve">  Time!BI$28</f>
        <v>52</v>
      </c>
      <c r="BJ12" s="9">
        <f xml:space="preserve">  Time!BJ$28</f>
        <v>53</v>
      </c>
      <c r="BK12" s="9">
        <f xml:space="preserve">  Time!BK$28</f>
        <v>54</v>
      </c>
      <c r="BL12" s="9">
        <f xml:space="preserve">  Time!BL$28</f>
        <v>55</v>
      </c>
      <c r="BM12" s="9">
        <f xml:space="preserve">  Time!BM$28</f>
        <v>56</v>
      </c>
      <c r="BN12" s="9">
        <f xml:space="preserve">  Time!BN$28</f>
        <v>57</v>
      </c>
      <c r="BO12" s="9">
        <f xml:space="preserve">  Time!BO$28</f>
        <v>58</v>
      </c>
      <c r="BP12" s="9">
        <f xml:space="preserve">  Time!BP$28</f>
        <v>59</v>
      </c>
      <c r="BQ12" s="9">
        <f xml:space="preserve">  Time!BQ$28</f>
        <v>60</v>
      </c>
    </row>
    <row r="13" spans="1:69" outlineLevel="1">
      <c r="A13" s="18"/>
      <c r="B13" s="18"/>
      <c r="C13" s="28"/>
      <c r="D13" s="27"/>
      <c r="E13" s="4" t="str">
        <f xml:space="preserve">  Time!E$291</f>
        <v>Use short term forecast flag</v>
      </c>
      <c r="F13" s="4">
        <f xml:space="preserve">  Time!F$291</f>
        <v>0</v>
      </c>
      <c r="G13" s="4" t="str">
        <f xml:space="preserve">  Time!G$291</f>
        <v>flag</v>
      </c>
      <c r="H13" s="4">
        <f xml:space="preserve">  Time!H$291</f>
        <v>12</v>
      </c>
      <c r="I13" s="4">
        <f xml:space="preserve">  Time!I$291</f>
        <v>0</v>
      </c>
      <c r="J13" s="4">
        <f xml:space="preserve">  Time!J$291</f>
        <v>1</v>
      </c>
      <c r="K13" s="4">
        <f xml:space="preserve">  Time!K$291</f>
        <v>1</v>
      </c>
      <c r="L13" s="4">
        <f xml:space="preserve">  Time!L$291</f>
        <v>1</v>
      </c>
      <c r="M13" s="4">
        <f xml:space="preserve">  Time!M$291</f>
        <v>1</v>
      </c>
      <c r="N13" s="4">
        <f xml:space="preserve">  Time!N$291</f>
        <v>1</v>
      </c>
      <c r="O13" s="4">
        <f xml:space="preserve">  Time!O$291</f>
        <v>1</v>
      </c>
      <c r="P13" s="4">
        <f xml:space="preserve">  Time!P$291</f>
        <v>1</v>
      </c>
      <c r="Q13" s="4">
        <f xml:space="preserve">  Time!Q$291</f>
        <v>1</v>
      </c>
      <c r="R13" s="4">
        <f xml:space="preserve">  Time!R$291</f>
        <v>1</v>
      </c>
      <c r="S13" s="4">
        <f xml:space="preserve">  Time!S$291</f>
        <v>1</v>
      </c>
      <c r="T13" s="4">
        <f xml:space="preserve">  Time!T$291</f>
        <v>1</v>
      </c>
      <c r="U13" s="4">
        <f xml:space="preserve">  Time!U$291</f>
        <v>1</v>
      </c>
      <c r="V13" s="4">
        <f xml:space="preserve">  Time!V$291</f>
        <v>0</v>
      </c>
      <c r="W13" s="4">
        <f xml:space="preserve">  Time!W$291</f>
        <v>0</v>
      </c>
      <c r="X13" s="4">
        <f xml:space="preserve">  Time!X$291</f>
        <v>0</v>
      </c>
      <c r="Y13" s="4">
        <f xml:space="preserve">  Time!Y$291</f>
        <v>0</v>
      </c>
      <c r="Z13" s="4">
        <f xml:space="preserve">  Time!Z$291</f>
        <v>0</v>
      </c>
      <c r="AA13" s="4">
        <f xml:space="preserve">  Time!AA$291</f>
        <v>0</v>
      </c>
      <c r="AB13" s="4">
        <f xml:space="preserve">  Time!AB$291</f>
        <v>0</v>
      </c>
      <c r="AC13" s="4">
        <f xml:space="preserve">  Time!AC$291</f>
        <v>0</v>
      </c>
      <c r="AD13" s="4">
        <f xml:space="preserve">  Time!AD$291</f>
        <v>0</v>
      </c>
      <c r="AE13" s="4">
        <f xml:space="preserve">  Time!AE$291</f>
        <v>0</v>
      </c>
      <c r="AF13" s="4">
        <f xml:space="preserve">  Time!AF$291</f>
        <v>0</v>
      </c>
      <c r="AG13" s="4">
        <f xml:space="preserve">  Time!AG$291</f>
        <v>0</v>
      </c>
      <c r="AH13" s="4">
        <f xml:space="preserve">  Time!AH$291</f>
        <v>0</v>
      </c>
      <c r="AI13" s="4">
        <f xml:space="preserve">  Time!AI$291</f>
        <v>0</v>
      </c>
      <c r="AJ13" s="4">
        <f xml:space="preserve">  Time!AJ$291</f>
        <v>0</v>
      </c>
      <c r="AK13" s="4">
        <f xml:space="preserve">  Time!AK$291</f>
        <v>0</v>
      </c>
      <c r="AL13" s="4">
        <f xml:space="preserve">  Time!AL$291</f>
        <v>0</v>
      </c>
      <c r="AM13" s="4">
        <f xml:space="preserve">  Time!AM$291</f>
        <v>0</v>
      </c>
      <c r="AN13" s="4">
        <f xml:space="preserve">  Time!AN$291</f>
        <v>0</v>
      </c>
      <c r="AO13" s="4">
        <f xml:space="preserve">  Time!AO$291</f>
        <v>0</v>
      </c>
      <c r="AP13" s="4">
        <f xml:space="preserve">  Time!AP$291</f>
        <v>0</v>
      </c>
      <c r="AQ13" s="4">
        <f xml:space="preserve">  Time!AQ$291</f>
        <v>0</v>
      </c>
      <c r="AR13" s="4">
        <f xml:space="preserve">  Time!AR$291</f>
        <v>0</v>
      </c>
      <c r="AS13" s="4">
        <f xml:space="preserve">  Time!AS$291</f>
        <v>0</v>
      </c>
      <c r="AT13" s="4">
        <f xml:space="preserve">  Time!AT$291</f>
        <v>0</v>
      </c>
      <c r="AU13" s="4">
        <f xml:space="preserve">  Time!AU$291</f>
        <v>0</v>
      </c>
      <c r="AV13" s="4">
        <f xml:space="preserve">  Time!AV$291</f>
        <v>0</v>
      </c>
      <c r="AW13" s="4">
        <f xml:space="preserve">  Time!AW$291</f>
        <v>0</v>
      </c>
      <c r="AX13" s="4">
        <f xml:space="preserve">  Time!AX$291</f>
        <v>0</v>
      </c>
      <c r="AY13" s="4">
        <f xml:space="preserve">  Time!AY$291</f>
        <v>0</v>
      </c>
      <c r="AZ13" s="4">
        <f xml:space="preserve">  Time!AZ$291</f>
        <v>0</v>
      </c>
      <c r="BA13" s="4">
        <f xml:space="preserve">  Time!BA$291</f>
        <v>0</v>
      </c>
      <c r="BB13" s="4">
        <f xml:space="preserve">  Time!BB$291</f>
        <v>0</v>
      </c>
      <c r="BC13" s="4">
        <f xml:space="preserve">  Time!BC$291</f>
        <v>0</v>
      </c>
      <c r="BD13" s="4">
        <f xml:space="preserve">  Time!BD$291</f>
        <v>0</v>
      </c>
      <c r="BE13" s="4">
        <f xml:space="preserve">  Time!BE$291</f>
        <v>0</v>
      </c>
      <c r="BF13" s="4">
        <f xml:space="preserve">  Time!BF$291</f>
        <v>0</v>
      </c>
      <c r="BG13" s="4">
        <f xml:space="preserve">  Time!BG$291</f>
        <v>0</v>
      </c>
      <c r="BH13" s="4">
        <f xml:space="preserve">  Time!BH$291</f>
        <v>0</v>
      </c>
      <c r="BI13" s="4">
        <f xml:space="preserve">  Time!BI$291</f>
        <v>0</v>
      </c>
      <c r="BJ13" s="4">
        <f xml:space="preserve">  Time!BJ$291</f>
        <v>0</v>
      </c>
      <c r="BK13" s="4">
        <f xml:space="preserve">  Time!BK$291</f>
        <v>0</v>
      </c>
      <c r="BL13" s="4">
        <f xml:space="preserve">  Time!BL$291</f>
        <v>0</v>
      </c>
      <c r="BM13" s="4">
        <f xml:space="preserve">  Time!BM$291</f>
        <v>0</v>
      </c>
      <c r="BN13" s="4">
        <f xml:space="preserve">  Time!BN$291</f>
        <v>0</v>
      </c>
      <c r="BO13" s="4">
        <f xml:space="preserve">  Time!BO$291</f>
        <v>0</v>
      </c>
      <c r="BP13" s="4">
        <f xml:space="preserve">  Time!BP$291</f>
        <v>0</v>
      </c>
      <c r="BQ13" s="4">
        <f xml:space="preserve">  Time!BQ$291</f>
        <v>0</v>
      </c>
    </row>
    <row r="14" spans="1:69" outlineLevel="1">
      <c r="A14" s="34"/>
      <c r="B14" s="34"/>
      <c r="C14" s="64"/>
      <c r="D14" s="65"/>
      <c r="E14" s="21" t="s">
        <v>80</v>
      </c>
      <c r="F14" s="21"/>
      <c r="G14" s="21" t="s">
        <v>122</v>
      </c>
      <c r="H14" s="3">
        <f xml:space="preserve"> SUM( J14:BQ14 )</f>
        <v>1374286.5308829343</v>
      </c>
      <c r="I14" s="21"/>
      <c r="J14" s="3">
        <f t="shared" ref="J14:BQ14" si="0" xml:space="preserve">  IF( J13 = 1, J11, IF( J12 = 1, $F9, I14 * ( 1 + $F10 ) ) )</f>
        <v>1000</v>
      </c>
      <c r="K14" s="3">
        <f t="shared" si="0"/>
        <v>1000</v>
      </c>
      <c r="L14" s="3">
        <f t="shared" si="0"/>
        <v>1000</v>
      </c>
      <c r="M14" s="3">
        <f t="shared" si="0"/>
        <v>1000</v>
      </c>
      <c r="N14" s="3">
        <f t="shared" si="0"/>
        <v>3000</v>
      </c>
      <c r="O14" s="3">
        <f t="shared" si="0"/>
        <v>3000</v>
      </c>
      <c r="P14" s="3">
        <f t="shared" si="0"/>
        <v>3000</v>
      </c>
      <c r="Q14" s="3">
        <f t="shared" si="0"/>
        <v>5000</v>
      </c>
      <c r="R14" s="3">
        <f t="shared" si="0"/>
        <v>5000</v>
      </c>
      <c r="S14" s="3">
        <f t="shared" si="0"/>
        <v>5000</v>
      </c>
      <c r="T14" s="3">
        <f t="shared" si="0"/>
        <v>5000</v>
      </c>
      <c r="U14" s="3">
        <f t="shared" si="0"/>
        <v>5000</v>
      </c>
      <c r="V14" s="3">
        <f t="shared" si="0"/>
        <v>5297.3154717964762</v>
      </c>
      <c r="W14" s="3">
        <f t="shared" si="0"/>
        <v>5612.3102415468647</v>
      </c>
      <c r="X14" s="3">
        <f t="shared" si="0"/>
        <v>5946.035575013605</v>
      </c>
      <c r="Y14" s="3">
        <f t="shared" si="0"/>
        <v>6299.6052494743653</v>
      </c>
      <c r="Z14" s="3">
        <f t="shared" si="0"/>
        <v>6674.1992708501712</v>
      </c>
      <c r="AA14" s="3">
        <f t="shared" si="0"/>
        <v>7071.0678118654751</v>
      </c>
      <c r="AB14" s="3">
        <f t="shared" si="0"/>
        <v>7491.5353843834073</v>
      </c>
      <c r="AC14" s="3">
        <f t="shared" si="0"/>
        <v>7937.0052598409975</v>
      </c>
      <c r="AD14" s="3">
        <f t="shared" si="0"/>
        <v>8408.9641525371462</v>
      </c>
      <c r="AE14" s="3">
        <f t="shared" si="0"/>
        <v>8908.9871814033941</v>
      </c>
      <c r="AF14" s="3">
        <f t="shared" si="0"/>
        <v>9438.7431268169366</v>
      </c>
      <c r="AG14" s="3">
        <f t="shared" si="0"/>
        <v>10000.000000000002</v>
      </c>
      <c r="AH14" s="3">
        <f t="shared" si="0"/>
        <v>10594.630943592954</v>
      </c>
      <c r="AI14" s="3">
        <f t="shared" si="0"/>
        <v>11224.620483093731</v>
      </c>
      <c r="AJ14" s="3">
        <f t="shared" si="0"/>
        <v>11892.071150027214</v>
      </c>
      <c r="AK14" s="3">
        <f t="shared" si="0"/>
        <v>12599.210498948736</v>
      </c>
      <c r="AL14" s="3">
        <f t="shared" si="0"/>
        <v>13348.39854170035</v>
      </c>
      <c r="AM14" s="3">
        <f t="shared" si="0"/>
        <v>14142.135623730957</v>
      </c>
      <c r="AN14" s="3">
        <f t="shared" si="0"/>
        <v>14983.070768766824</v>
      </c>
      <c r="AO14" s="3">
        <f t="shared" si="0"/>
        <v>15874.010519682004</v>
      </c>
      <c r="AP14" s="3">
        <f t="shared" si="0"/>
        <v>16817.9283050743</v>
      </c>
      <c r="AQ14" s="3">
        <f t="shared" si="0"/>
        <v>17817.974362806795</v>
      </c>
      <c r="AR14" s="3">
        <f t="shared" si="0"/>
        <v>18877.486253633881</v>
      </c>
      <c r="AS14" s="3">
        <f t="shared" si="0"/>
        <v>20000.000000000011</v>
      </c>
      <c r="AT14" s="3">
        <f t="shared" si="0"/>
        <v>21189.261887185919</v>
      </c>
      <c r="AU14" s="3">
        <f t="shared" si="0"/>
        <v>22449.240966187477</v>
      </c>
      <c r="AV14" s="3">
        <f t="shared" si="0"/>
        <v>23784.142300054442</v>
      </c>
      <c r="AW14" s="3">
        <f t="shared" si="0"/>
        <v>25198.420997897487</v>
      </c>
      <c r="AX14" s="3">
        <f t="shared" si="0"/>
        <v>26696.797083400714</v>
      </c>
      <c r="AY14" s="3">
        <f t="shared" si="0"/>
        <v>28284.271247461929</v>
      </c>
      <c r="AZ14" s="3">
        <f t="shared" si="0"/>
        <v>29966.141537533662</v>
      </c>
      <c r="BA14" s="3">
        <f t="shared" si="0"/>
        <v>31748.021039364026</v>
      </c>
      <c r="BB14" s="3">
        <f t="shared" si="0"/>
        <v>33635.856610148621</v>
      </c>
      <c r="BC14" s="3">
        <f t="shared" si="0"/>
        <v>35635.948725613613</v>
      </c>
      <c r="BD14" s="3">
        <f t="shared" si="0"/>
        <v>37754.972507267783</v>
      </c>
      <c r="BE14" s="3">
        <f t="shared" si="0"/>
        <v>40000.000000000051</v>
      </c>
      <c r="BF14" s="3">
        <f t="shared" si="0"/>
        <v>42378.523774371868</v>
      </c>
      <c r="BG14" s="3">
        <f t="shared" si="0"/>
        <v>44898.481932374983</v>
      </c>
      <c r="BH14" s="3">
        <f t="shared" si="0"/>
        <v>47568.284600108913</v>
      </c>
      <c r="BI14" s="3">
        <f t="shared" si="0"/>
        <v>50396.841995795003</v>
      </c>
      <c r="BJ14" s="3">
        <f t="shared" si="0"/>
        <v>53393.594166801457</v>
      </c>
      <c r="BK14" s="3">
        <f t="shared" si="0"/>
        <v>56568.542494923888</v>
      </c>
      <c r="BL14" s="3">
        <f t="shared" si="0"/>
        <v>59932.283075067353</v>
      </c>
      <c r="BM14" s="3">
        <f t="shared" si="0"/>
        <v>63496.042078728082</v>
      </c>
      <c r="BN14" s="3">
        <f t="shared" si="0"/>
        <v>67271.713220297272</v>
      </c>
      <c r="BO14" s="3">
        <f t="shared" si="0"/>
        <v>71271.897451227269</v>
      </c>
      <c r="BP14" s="3">
        <f t="shared" si="0"/>
        <v>75509.94501453561</v>
      </c>
      <c r="BQ14" s="3">
        <f t="shared" si="0"/>
        <v>80000.000000000146</v>
      </c>
    </row>
    <row r="17" spans="1:69">
      <c r="B17" s="25" t="s">
        <v>323</v>
      </c>
    </row>
    <row r="18" spans="1:69" s="80" customFormat="1">
      <c r="A18" s="60"/>
      <c r="B18" s="60"/>
      <c r="C18" s="82"/>
      <c r="D18" s="85"/>
      <c r="E18" s="40" t="str">
        <f xml:space="preserve">  InpC!E$19</f>
        <v>Opening Customer Orders Awaiting Fullfilment</v>
      </c>
      <c r="F18" s="40">
        <f xml:space="preserve">  InpC!F$19</f>
        <v>0</v>
      </c>
      <c r="G18" s="40" t="str">
        <f xml:space="preserve">  InpC!G$19</f>
        <v>Units</v>
      </c>
      <c r="M18" s="87"/>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183</v>
      </c>
      <c r="G20" s="47" t="s">
        <v>122</v>
      </c>
      <c r="J20" s="2">
        <f t="shared" ref="J20:BQ20" si="1" xml:space="preserve">  I24</f>
        <v>0</v>
      </c>
      <c r="K20" s="2">
        <f t="shared" ca="1" si="1"/>
        <v>1000</v>
      </c>
      <c r="L20" s="2">
        <f t="shared" ca="1" si="1"/>
        <v>2000</v>
      </c>
      <c r="M20" s="2">
        <f t="shared" ca="1" si="1"/>
        <v>1000</v>
      </c>
      <c r="N20" s="2">
        <f t="shared" ca="1" si="1"/>
        <v>1000</v>
      </c>
      <c r="O20" s="2">
        <f t="shared" ca="1" si="1"/>
        <v>3000</v>
      </c>
      <c r="P20" s="2">
        <f t="shared" ca="1" si="1"/>
        <v>5000</v>
      </c>
      <c r="Q20" s="2">
        <f t="shared" ca="1" si="1"/>
        <v>3000</v>
      </c>
      <c r="R20" s="2">
        <f t="shared" ca="1" si="1"/>
        <v>5000</v>
      </c>
      <c r="S20" s="2">
        <f t="shared" ca="1" si="1"/>
        <v>8000</v>
      </c>
      <c r="T20" s="2">
        <f t="shared" ca="1" si="1"/>
        <v>13000</v>
      </c>
      <c r="U20" s="2">
        <f t="shared" ca="1" si="1"/>
        <v>8000</v>
      </c>
      <c r="V20" s="2">
        <f t="shared" ca="1" si="1"/>
        <v>13000</v>
      </c>
      <c r="W20" s="2">
        <f t="shared" ca="1" si="1"/>
        <v>8297.3154717964753</v>
      </c>
      <c r="X20" s="2">
        <f t="shared" ca="1" si="1"/>
        <v>5612.3102415468638</v>
      </c>
      <c r="Y20" s="2">
        <f t="shared" ca="1" si="1"/>
        <v>9855.6612883569433</v>
      </c>
      <c r="Z20" s="2">
        <f t="shared" ca="1" si="1"/>
        <v>6299.6052494743653</v>
      </c>
      <c r="AA20" s="2">
        <f t="shared" ca="1" si="1"/>
        <v>12829.46580868148</v>
      </c>
      <c r="AB20" s="2">
        <f t="shared" ca="1" si="1"/>
        <v>19900.533620546954</v>
      </c>
      <c r="AC20" s="2">
        <f t="shared" ca="1" si="1"/>
        <v>27392.069004930359</v>
      </c>
      <c r="AD20" s="2">
        <f t="shared" ca="1" si="1"/>
        <v>35329.074264771356</v>
      </c>
      <c r="AE20" s="2">
        <f t="shared" ca="1" si="1"/>
        <v>43738.038417308504</v>
      </c>
      <c r="AF20" s="2">
        <f t="shared" ca="1" si="1"/>
        <v>47647.025598711902</v>
      </c>
      <c r="AG20" s="2">
        <f t="shared" ca="1" si="1"/>
        <v>52085.76872552884</v>
      </c>
      <c r="AH20" s="2">
        <f t="shared" ca="1" si="1"/>
        <v>57085.76872552884</v>
      </c>
      <c r="AI20" s="2">
        <f t="shared" ca="1" si="1"/>
        <v>58580.399669121791</v>
      </c>
      <c r="AJ20" s="2">
        <f t="shared" ca="1" si="1"/>
        <v>65705.020152215526</v>
      </c>
      <c r="AK20" s="2">
        <f t="shared" ca="1" si="1"/>
        <v>68497.091302242741</v>
      </c>
      <c r="AL20" s="2">
        <f t="shared" ca="1" si="1"/>
        <v>76996.301801191483</v>
      </c>
      <c r="AM20" s="2">
        <f t="shared" ca="1" si="1"/>
        <v>83044.700342891825</v>
      </c>
      <c r="AN20" s="2">
        <f t="shared" ca="1" si="1"/>
        <v>89886.835966622777</v>
      </c>
      <c r="AO20" s="2">
        <f t="shared" ca="1" si="1"/>
        <v>97569.906735389595</v>
      </c>
      <c r="AP20" s="2">
        <f t="shared" ca="1" si="1"/>
        <v>107943.9172550716</v>
      </c>
      <c r="AQ20" s="2">
        <f t="shared" ca="1" si="1"/>
        <v>114261.8455601459</v>
      </c>
      <c r="AR20" s="2">
        <f t="shared" ca="1" si="1"/>
        <v>126579.81992295268</v>
      </c>
      <c r="AS20" s="2">
        <f t="shared" ca="1" si="1"/>
        <v>134957.30617658657</v>
      </c>
      <c r="AT20" s="2">
        <f t="shared" ca="1" si="1"/>
        <v>144457.30617658657</v>
      </c>
      <c r="AU20" s="2">
        <f t="shared" ca="1" si="1"/>
        <v>150414.15198838932</v>
      </c>
      <c r="AV20" s="2">
        <f t="shared" ca="1" si="1"/>
        <v>162914.47217196896</v>
      </c>
      <c r="AW20" s="2">
        <f t="shared" ca="1" si="1"/>
        <v>172050.04648953563</v>
      </c>
      <c r="AX20" s="2">
        <f t="shared" ca="1" si="1"/>
        <v>177918.11221196005</v>
      </c>
      <c r="AY20" s="2">
        <f t="shared" ca="1" si="1"/>
        <v>190621.6886391259</v>
      </c>
      <c r="AZ20" s="2">
        <f t="shared" ca="1" si="1"/>
        <v>200269.92091726678</v>
      </c>
      <c r="BA20" s="2">
        <f t="shared" ca="1" si="1"/>
        <v>211978.4443007455</v>
      </c>
      <c r="BB20" s="2">
        <f t="shared" ca="1" si="1"/>
        <v>225869.77007396641</v>
      </c>
      <c r="BC20" s="2">
        <f t="shared" ca="1" si="1"/>
        <v>242073.69442139845</v>
      </c>
      <c r="BD20" s="2">
        <f t="shared" ca="1" si="1"/>
        <v>255727.73161027511</v>
      </c>
      <c r="BE20" s="2">
        <f t="shared" ca="1" si="1"/>
        <v>271977.57293167815</v>
      </c>
      <c r="BF20" s="2">
        <f t="shared" ca="1" si="1"/>
        <v>285977.57293167821</v>
      </c>
      <c r="BG20" s="2">
        <f t="shared" ca="1" si="1"/>
        <v>302891.26455528376</v>
      </c>
      <c r="BH20" s="2">
        <f t="shared" ca="1" si="1"/>
        <v>322891.90492244309</v>
      </c>
      <c r="BI20" s="2">
        <f t="shared" ca="1" si="1"/>
        <v>341163.0535575765</v>
      </c>
      <c r="BJ20" s="2">
        <f t="shared" ca="1" si="1"/>
        <v>362899.18500242539</v>
      </c>
      <c r="BK20" s="2">
        <f t="shared" ca="1" si="1"/>
        <v>383306.33785675722</v>
      </c>
      <c r="BL20" s="2">
        <f t="shared" ca="1" si="1"/>
        <v>407602.80241303897</v>
      </c>
      <c r="BM20" s="2">
        <f t="shared" ca="1" si="1"/>
        <v>431019.84917999641</v>
      </c>
      <c r="BN20" s="2">
        <f t="shared" ca="1" si="1"/>
        <v>458802.5007264383</v>
      </c>
      <c r="BO20" s="2">
        <f t="shared" ca="1" si="1"/>
        <v>486210.34942130244</v>
      </c>
      <c r="BP20" s="2">
        <f t="shared" ca="1" si="1"/>
        <v>513518.42379905586</v>
      </c>
      <c r="BQ20" s="2">
        <f t="shared" ca="1" si="1"/>
        <v>546018.10644186195</v>
      </c>
    </row>
    <row r="21" spans="1:69">
      <c r="D21" s="94" t="s">
        <v>220</v>
      </c>
      <c r="E21" s="2" t="str">
        <f t="shared" ref="E21:BQ21" si="2" xml:space="preserve">  E$14</f>
        <v>New customer orders</v>
      </c>
      <c r="F21" s="2">
        <f t="shared" si="2"/>
        <v>0</v>
      </c>
      <c r="G21" s="2" t="str">
        <f t="shared" si="2"/>
        <v>Units</v>
      </c>
      <c r="H21" s="2">
        <f t="shared" si="2"/>
        <v>1374286.5308829343</v>
      </c>
      <c r="I21" s="2">
        <f t="shared" si="2"/>
        <v>0</v>
      </c>
      <c r="J21" s="2">
        <f t="shared" si="2"/>
        <v>1000</v>
      </c>
      <c r="K21" s="2">
        <f t="shared" si="2"/>
        <v>1000</v>
      </c>
      <c r="L21" s="2">
        <f t="shared" si="2"/>
        <v>1000</v>
      </c>
      <c r="M21" s="2">
        <f t="shared" si="2"/>
        <v>1000</v>
      </c>
      <c r="N21" s="2">
        <f t="shared" si="2"/>
        <v>3000</v>
      </c>
      <c r="O21" s="2">
        <f t="shared" si="2"/>
        <v>3000</v>
      </c>
      <c r="P21" s="2">
        <f t="shared" si="2"/>
        <v>3000</v>
      </c>
      <c r="Q21" s="2">
        <f t="shared" si="2"/>
        <v>5000</v>
      </c>
      <c r="R21" s="2">
        <f t="shared" si="2"/>
        <v>5000</v>
      </c>
      <c r="S21" s="2">
        <f t="shared" si="2"/>
        <v>5000</v>
      </c>
      <c r="T21" s="2">
        <f t="shared" si="2"/>
        <v>5000</v>
      </c>
      <c r="U21" s="2">
        <f t="shared" si="2"/>
        <v>5000</v>
      </c>
      <c r="V21" s="2">
        <f t="shared" si="2"/>
        <v>5297.3154717964762</v>
      </c>
      <c r="W21" s="2">
        <f t="shared" si="2"/>
        <v>5612.3102415468647</v>
      </c>
      <c r="X21" s="2">
        <f t="shared" si="2"/>
        <v>5946.035575013605</v>
      </c>
      <c r="Y21" s="2">
        <f t="shared" si="2"/>
        <v>6299.6052494743653</v>
      </c>
      <c r="Z21" s="2">
        <f t="shared" si="2"/>
        <v>6674.1992708501712</v>
      </c>
      <c r="AA21" s="2">
        <f t="shared" si="2"/>
        <v>7071.0678118654751</v>
      </c>
      <c r="AB21" s="2">
        <f t="shared" si="2"/>
        <v>7491.5353843834073</v>
      </c>
      <c r="AC21" s="2">
        <f t="shared" si="2"/>
        <v>7937.0052598409975</v>
      </c>
      <c r="AD21" s="2">
        <f t="shared" si="2"/>
        <v>8408.9641525371462</v>
      </c>
      <c r="AE21" s="2">
        <f t="shared" si="2"/>
        <v>8908.9871814033941</v>
      </c>
      <c r="AF21" s="2">
        <f t="shared" si="2"/>
        <v>9438.7431268169366</v>
      </c>
      <c r="AG21" s="2">
        <f t="shared" si="2"/>
        <v>10000.000000000002</v>
      </c>
      <c r="AH21" s="2">
        <f t="shared" si="2"/>
        <v>10594.630943592954</v>
      </c>
      <c r="AI21" s="2">
        <f t="shared" si="2"/>
        <v>11224.620483093731</v>
      </c>
      <c r="AJ21" s="2">
        <f t="shared" si="2"/>
        <v>11892.071150027214</v>
      </c>
      <c r="AK21" s="2">
        <f t="shared" si="2"/>
        <v>12599.210498948736</v>
      </c>
      <c r="AL21" s="2">
        <f t="shared" si="2"/>
        <v>13348.39854170035</v>
      </c>
      <c r="AM21" s="2">
        <f t="shared" si="2"/>
        <v>14142.135623730957</v>
      </c>
      <c r="AN21" s="2">
        <f t="shared" si="2"/>
        <v>14983.070768766824</v>
      </c>
      <c r="AO21" s="2">
        <f t="shared" si="2"/>
        <v>15874.010519682004</v>
      </c>
      <c r="AP21" s="2">
        <f t="shared" si="2"/>
        <v>16817.9283050743</v>
      </c>
      <c r="AQ21" s="2">
        <f t="shared" si="2"/>
        <v>17817.974362806795</v>
      </c>
      <c r="AR21" s="2">
        <f t="shared" si="2"/>
        <v>18877.486253633881</v>
      </c>
      <c r="AS21" s="2">
        <f t="shared" si="2"/>
        <v>20000.000000000011</v>
      </c>
      <c r="AT21" s="2">
        <f t="shared" si="2"/>
        <v>21189.261887185919</v>
      </c>
      <c r="AU21" s="2">
        <f t="shared" si="2"/>
        <v>22449.240966187477</v>
      </c>
      <c r="AV21" s="2">
        <f t="shared" si="2"/>
        <v>23784.142300054442</v>
      </c>
      <c r="AW21" s="2">
        <f t="shared" si="2"/>
        <v>25198.420997897487</v>
      </c>
      <c r="AX21" s="2">
        <f t="shared" si="2"/>
        <v>26696.797083400714</v>
      </c>
      <c r="AY21" s="2">
        <f t="shared" si="2"/>
        <v>28284.271247461929</v>
      </c>
      <c r="AZ21" s="2">
        <f t="shared" si="2"/>
        <v>29966.141537533662</v>
      </c>
      <c r="BA21" s="2">
        <f t="shared" si="2"/>
        <v>31748.021039364026</v>
      </c>
      <c r="BB21" s="2">
        <f t="shared" si="2"/>
        <v>33635.856610148621</v>
      </c>
      <c r="BC21" s="2">
        <f t="shared" si="2"/>
        <v>35635.948725613613</v>
      </c>
      <c r="BD21" s="2">
        <f t="shared" si="2"/>
        <v>37754.972507267783</v>
      </c>
      <c r="BE21" s="2">
        <f t="shared" si="2"/>
        <v>40000.000000000051</v>
      </c>
      <c r="BF21" s="2">
        <f t="shared" si="2"/>
        <v>42378.523774371868</v>
      </c>
      <c r="BG21" s="2">
        <f t="shared" si="2"/>
        <v>44898.481932374983</v>
      </c>
      <c r="BH21" s="2">
        <f t="shared" si="2"/>
        <v>47568.284600108913</v>
      </c>
      <c r="BI21" s="2">
        <f t="shared" si="2"/>
        <v>50396.841995795003</v>
      </c>
      <c r="BJ21" s="2">
        <f t="shared" si="2"/>
        <v>53393.594166801457</v>
      </c>
      <c r="BK21" s="2">
        <f t="shared" si="2"/>
        <v>56568.542494923888</v>
      </c>
      <c r="BL21" s="2">
        <f t="shared" si="2"/>
        <v>59932.283075067353</v>
      </c>
      <c r="BM21" s="2">
        <f t="shared" si="2"/>
        <v>63496.042078728082</v>
      </c>
      <c r="BN21" s="2">
        <f t="shared" si="2"/>
        <v>67271.713220297272</v>
      </c>
      <c r="BO21" s="2">
        <f t="shared" si="2"/>
        <v>71271.897451227269</v>
      </c>
      <c r="BP21" s="2">
        <f t="shared" si="2"/>
        <v>75509.94501453561</v>
      </c>
      <c r="BQ21" s="2">
        <f t="shared" si="2"/>
        <v>80000.000000000146</v>
      </c>
    </row>
    <row r="22" spans="1:69">
      <c r="D22" s="94" t="s">
        <v>220</v>
      </c>
      <c r="E22" s="2" t="str">
        <f t="shared" ref="E22:BQ22" si="3" xml:space="preserve">  E$35</f>
        <v>Renewing Customer Orders</v>
      </c>
      <c r="F22" s="2">
        <f t="shared" si="3"/>
        <v>0</v>
      </c>
      <c r="G22" s="2" t="str">
        <f t="shared" si="3"/>
        <v>Units</v>
      </c>
      <c r="H22" s="2">
        <f t="shared" ca="1" si="3"/>
        <v>274731.57555892796</v>
      </c>
      <c r="I22" s="2">
        <f t="shared" si="3"/>
        <v>0</v>
      </c>
      <c r="J22" s="2">
        <f t="shared" ca="1" si="3"/>
        <v>0</v>
      </c>
      <c r="K22" s="2">
        <f t="shared" ca="1" si="3"/>
        <v>0</v>
      </c>
      <c r="L22" s="2">
        <f t="shared" ca="1" si="3"/>
        <v>0</v>
      </c>
      <c r="M22" s="2">
        <f t="shared" ca="1" si="3"/>
        <v>0</v>
      </c>
      <c r="N22" s="2">
        <f t="shared" ca="1" si="3"/>
        <v>0</v>
      </c>
      <c r="O22" s="2">
        <f t="shared" ca="1" si="3"/>
        <v>0</v>
      </c>
      <c r="P22" s="2">
        <f t="shared" ca="1" si="3"/>
        <v>0</v>
      </c>
      <c r="Q22" s="2">
        <f t="shared" ca="1" si="3"/>
        <v>0</v>
      </c>
      <c r="R22" s="2">
        <f t="shared" ca="1" si="3"/>
        <v>0</v>
      </c>
      <c r="S22" s="2">
        <f t="shared" ca="1" si="3"/>
        <v>0</v>
      </c>
      <c r="T22" s="2">
        <f t="shared" ca="1" si="3"/>
        <v>0</v>
      </c>
      <c r="U22" s="2">
        <f t="shared" ca="1" si="3"/>
        <v>0</v>
      </c>
      <c r="V22" s="2">
        <f t="shared" ca="1" si="3"/>
        <v>0</v>
      </c>
      <c r="W22" s="2">
        <f t="shared" ca="1" si="3"/>
        <v>0</v>
      </c>
      <c r="X22" s="2">
        <f t="shared" ca="1" si="3"/>
        <v>0</v>
      </c>
      <c r="Y22" s="2">
        <f t="shared" ca="1" si="3"/>
        <v>0</v>
      </c>
      <c r="Z22" s="2">
        <f t="shared" ca="1" si="3"/>
        <v>0</v>
      </c>
      <c r="AA22" s="2">
        <f t="shared" ca="1" si="3"/>
        <v>0</v>
      </c>
      <c r="AB22" s="2">
        <f t="shared" ca="1" si="3"/>
        <v>0</v>
      </c>
      <c r="AC22" s="2">
        <f t="shared" ca="1" si="3"/>
        <v>0</v>
      </c>
      <c r="AD22" s="2">
        <f t="shared" ca="1" si="3"/>
        <v>0</v>
      </c>
      <c r="AE22" s="2">
        <f t="shared" ca="1" si="3"/>
        <v>0</v>
      </c>
      <c r="AF22" s="2">
        <f t="shared" ca="1" si="3"/>
        <v>0</v>
      </c>
      <c r="AG22" s="2">
        <f t="shared" ca="1" si="3"/>
        <v>0</v>
      </c>
      <c r="AH22" s="2">
        <f t="shared" ca="1" si="3"/>
        <v>900</v>
      </c>
      <c r="AI22" s="2">
        <f t="shared" ca="1" si="3"/>
        <v>900</v>
      </c>
      <c r="AJ22" s="2">
        <f t="shared" ca="1" si="3"/>
        <v>900</v>
      </c>
      <c r="AK22" s="2">
        <f t="shared" ca="1" si="3"/>
        <v>900</v>
      </c>
      <c r="AL22" s="2">
        <f t="shared" ca="1" si="3"/>
        <v>2700</v>
      </c>
      <c r="AM22" s="2">
        <f t="shared" ca="1" si="3"/>
        <v>2700</v>
      </c>
      <c r="AN22" s="2">
        <f t="shared" ca="1" si="3"/>
        <v>2700</v>
      </c>
      <c r="AO22" s="2">
        <f t="shared" ca="1" si="3"/>
        <v>4500</v>
      </c>
      <c r="AP22" s="2">
        <f t="shared" ca="1" si="3"/>
        <v>4500</v>
      </c>
      <c r="AQ22" s="2">
        <f t="shared" ca="1" si="3"/>
        <v>4500</v>
      </c>
      <c r="AR22" s="2">
        <f t="shared" ca="1" si="3"/>
        <v>4500</v>
      </c>
      <c r="AS22" s="2">
        <f t="shared" ca="1" si="3"/>
        <v>4500</v>
      </c>
      <c r="AT22" s="2">
        <f t="shared" ca="1" si="3"/>
        <v>4767.5839246168289</v>
      </c>
      <c r="AU22" s="2">
        <f t="shared" ca="1" si="3"/>
        <v>5051.0792173921782</v>
      </c>
      <c r="AV22" s="2">
        <f t="shared" ca="1" si="3"/>
        <v>5351.4320175122448</v>
      </c>
      <c r="AW22" s="2">
        <f t="shared" ca="1" si="3"/>
        <v>5669.6447245269292</v>
      </c>
      <c r="AX22" s="2">
        <f t="shared" ca="1" si="3"/>
        <v>6006.7793437651544</v>
      </c>
      <c r="AY22" s="2">
        <f t="shared" ca="1" si="3"/>
        <v>6363.9610306789273</v>
      </c>
      <c r="AZ22" s="2">
        <f t="shared" ca="1" si="3"/>
        <v>6742.3818459450667</v>
      </c>
      <c r="BA22" s="2">
        <f t="shared" ca="1" si="3"/>
        <v>7143.3047338568977</v>
      </c>
      <c r="BB22" s="2">
        <f t="shared" ca="1" si="3"/>
        <v>7568.0677372834316</v>
      </c>
      <c r="BC22" s="2">
        <f t="shared" ca="1" si="3"/>
        <v>8018.088463263055</v>
      </c>
      <c r="BD22" s="2">
        <f t="shared" ca="1" si="3"/>
        <v>8494.8688141352432</v>
      </c>
      <c r="BE22" s="2">
        <f t="shared" ca="1" si="3"/>
        <v>9000.0000000000018</v>
      </c>
      <c r="BF22" s="2">
        <f t="shared" ca="1" si="3"/>
        <v>9535.1678492336596</v>
      </c>
      <c r="BG22" s="2">
        <f t="shared" ca="1" si="3"/>
        <v>10102.158434784358</v>
      </c>
      <c r="BH22" s="2">
        <f t="shared" ca="1" si="3"/>
        <v>10702.864035024493</v>
      </c>
      <c r="BI22" s="2">
        <f t="shared" ca="1" si="3"/>
        <v>11339.289449053862</v>
      </c>
      <c r="BJ22" s="2">
        <f t="shared" ca="1" si="3"/>
        <v>12013.558687530314</v>
      </c>
      <c r="BK22" s="2">
        <f t="shared" ca="1" si="3"/>
        <v>12727.922061357862</v>
      </c>
      <c r="BL22" s="2">
        <f t="shared" ca="1" si="3"/>
        <v>13484.763691890141</v>
      </c>
      <c r="BM22" s="2">
        <f t="shared" ca="1" si="3"/>
        <v>14286.609467713804</v>
      </c>
      <c r="BN22" s="2">
        <f t="shared" ca="1" si="3"/>
        <v>15136.13547456687</v>
      </c>
      <c r="BO22" s="2">
        <f t="shared" ca="1" si="3"/>
        <v>16036.176926526115</v>
      </c>
      <c r="BP22" s="2">
        <f t="shared" ca="1" si="3"/>
        <v>16989.737628270494</v>
      </c>
      <c r="BQ22" s="2">
        <f t="shared" ca="1" si="3"/>
        <v>18000.000000000011</v>
      </c>
    </row>
    <row r="23" spans="1:69">
      <c r="D23" s="94" t="s">
        <v>299</v>
      </c>
      <c r="E23" s="2" t="str">
        <f t="shared" ref="E23:BQ23" si="4" xml:space="preserve">  E$29</f>
        <v>Customer orders fullfilled</v>
      </c>
      <c r="F23" s="2">
        <f t="shared" si="4"/>
        <v>0</v>
      </c>
      <c r="G23" s="2" t="str">
        <f t="shared" si="4"/>
        <v>Units</v>
      </c>
      <c r="H23" s="2">
        <f t="shared" ca="1" si="4"/>
        <v>1070000</v>
      </c>
      <c r="I23" s="2">
        <f t="shared" si="4"/>
        <v>0</v>
      </c>
      <c r="J23" s="2">
        <f t="shared" si="4"/>
        <v>0</v>
      </c>
      <c r="K23" s="2">
        <f t="shared" ca="1" si="4"/>
        <v>0</v>
      </c>
      <c r="L23" s="2">
        <f t="shared" ca="1" si="4"/>
        <v>2000</v>
      </c>
      <c r="M23" s="2">
        <f t="shared" ca="1" si="4"/>
        <v>1000</v>
      </c>
      <c r="N23" s="2">
        <f t="shared" ca="1" si="4"/>
        <v>1000</v>
      </c>
      <c r="O23" s="2">
        <f t="shared" ca="1" si="4"/>
        <v>1000</v>
      </c>
      <c r="P23" s="2">
        <f t="shared" ca="1" si="4"/>
        <v>5000</v>
      </c>
      <c r="Q23" s="2">
        <f t="shared" ca="1" si="4"/>
        <v>3000</v>
      </c>
      <c r="R23" s="2">
        <f t="shared" ca="1" si="4"/>
        <v>2000</v>
      </c>
      <c r="S23" s="2">
        <f t="shared" ca="1" si="4"/>
        <v>0</v>
      </c>
      <c r="T23" s="2">
        <f t="shared" ca="1" si="4"/>
        <v>10000</v>
      </c>
      <c r="U23" s="2">
        <f t="shared" ca="1" si="4"/>
        <v>0</v>
      </c>
      <c r="V23" s="2">
        <f t="shared" ca="1" si="4"/>
        <v>10000</v>
      </c>
      <c r="W23" s="2">
        <f t="shared" ca="1" si="4"/>
        <v>8297.3154717964753</v>
      </c>
      <c r="X23" s="2">
        <f t="shared" ca="1" si="4"/>
        <v>1702.6845282035247</v>
      </c>
      <c r="Y23" s="2">
        <f t="shared" ca="1" si="4"/>
        <v>9855.6612883569433</v>
      </c>
      <c r="Z23" s="2">
        <f t="shared" ca="1" si="4"/>
        <v>144.33871164305674</v>
      </c>
      <c r="AA23" s="2">
        <f t="shared" ca="1" si="4"/>
        <v>0</v>
      </c>
      <c r="AB23" s="2">
        <f t="shared" ca="1" si="4"/>
        <v>0</v>
      </c>
      <c r="AC23" s="2">
        <f t="shared" ca="1" si="4"/>
        <v>0</v>
      </c>
      <c r="AD23" s="2">
        <f t="shared" ca="1" si="4"/>
        <v>0</v>
      </c>
      <c r="AE23" s="2">
        <f t="shared" ca="1" si="4"/>
        <v>5000</v>
      </c>
      <c r="AF23" s="2">
        <f t="shared" ca="1" si="4"/>
        <v>5000</v>
      </c>
      <c r="AG23" s="2">
        <f t="shared" ca="1" si="4"/>
        <v>5000</v>
      </c>
      <c r="AH23" s="2">
        <f t="shared" ca="1" si="4"/>
        <v>10000</v>
      </c>
      <c r="AI23" s="2">
        <f t="shared" ca="1" si="4"/>
        <v>5000</v>
      </c>
      <c r="AJ23" s="2">
        <f t="shared" ca="1" si="4"/>
        <v>10000</v>
      </c>
      <c r="AK23" s="2">
        <f t="shared" ca="1" si="4"/>
        <v>5000</v>
      </c>
      <c r="AL23" s="2">
        <f t="shared" ca="1" si="4"/>
        <v>10000</v>
      </c>
      <c r="AM23" s="2">
        <f t="shared" ca="1" si="4"/>
        <v>10000</v>
      </c>
      <c r="AN23" s="2">
        <f t="shared" ca="1" si="4"/>
        <v>10000</v>
      </c>
      <c r="AO23" s="2">
        <f t="shared" ca="1" si="4"/>
        <v>10000</v>
      </c>
      <c r="AP23" s="2">
        <f t="shared" ca="1" si="4"/>
        <v>15000</v>
      </c>
      <c r="AQ23" s="2">
        <f t="shared" ca="1" si="4"/>
        <v>10000</v>
      </c>
      <c r="AR23" s="2">
        <f t="shared" ca="1" si="4"/>
        <v>15000</v>
      </c>
      <c r="AS23" s="2">
        <f t="shared" ca="1" si="4"/>
        <v>15000</v>
      </c>
      <c r="AT23" s="2">
        <f t="shared" ca="1" si="4"/>
        <v>20000</v>
      </c>
      <c r="AU23" s="2">
        <f t="shared" ca="1" si="4"/>
        <v>15000</v>
      </c>
      <c r="AV23" s="2">
        <f t="shared" ca="1" si="4"/>
        <v>20000</v>
      </c>
      <c r="AW23" s="2">
        <f t="shared" ca="1" si="4"/>
        <v>25000</v>
      </c>
      <c r="AX23" s="2">
        <f t="shared" ca="1" si="4"/>
        <v>20000</v>
      </c>
      <c r="AY23" s="2">
        <f t="shared" ca="1" si="4"/>
        <v>25000</v>
      </c>
      <c r="AZ23" s="2">
        <f t="shared" ca="1" si="4"/>
        <v>25000</v>
      </c>
      <c r="BA23" s="2">
        <f t="shared" ca="1" si="4"/>
        <v>25000</v>
      </c>
      <c r="BB23" s="2">
        <f t="shared" ca="1" si="4"/>
        <v>25000</v>
      </c>
      <c r="BC23" s="2">
        <f t="shared" ca="1" si="4"/>
        <v>30000</v>
      </c>
      <c r="BD23" s="2">
        <f t="shared" ca="1" si="4"/>
        <v>30000.000000000004</v>
      </c>
      <c r="BE23" s="2">
        <f t="shared" ca="1" si="4"/>
        <v>35000</v>
      </c>
      <c r="BF23" s="2">
        <f t="shared" ca="1" si="4"/>
        <v>35000</v>
      </c>
      <c r="BG23" s="2">
        <f t="shared" ca="1" si="4"/>
        <v>35000</v>
      </c>
      <c r="BH23" s="2">
        <f t="shared" ca="1" si="4"/>
        <v>40000</v>
      </c>
      <c r="BI23" s="2">
        <f t="shared" ca="1" si="4"/>
        <v>40000</v>
      </c>
      <c r="BJ23" s="2">
        <f t="shared" ca="1" si="4"/>
        <v>45000</v>
      </c>
      <c r="BK23" s="2">
        <f t="shared" ca="1" si="4"/>
        <v>45000</v>
      </c>
      <c r="BL23" s="2">
        <f t="shared" ca="1" si="4"/>
        <v>49999.999999999993</v>
      </c>
      <c r="BM23" s="2">
        <f t="shared" ca="1" si="4"/>
        <v>50000.000000000007</v>
      </c>
      <c r="BN23" s="2">
        <f t="shared" ca="1" si="4"/>
        <v>54999.999999999985</v>
      </c>
      <c r="BO23" s="2">
        <f t="shared" ca="1" si="4"/>
        <v>60000</v>
      </c>
      <c r="BP23" s="2">
        <f t="shared" ca="1" si="4"/>
        <v>60000</v>
      </c>
      <c r="BQ23" s="2">
        <f t="shared" ca="1" si="4"/>
        <v>65000</v>
      </c>
    </row>
    <row r="24" spans="1:69" s="86" customFormat="1">
      <c r="A24" s="63"/>
      <c r="B24" s="63"/>
      <c r="C24" s="89"/>
      <c r="D24" s="91"/>
      <c r="E24" s="33" t="s">
        <v>323</v>
      </c>
      <c r="F24" s="33"/>
      <c r="G24" s="33" t="s">
        <v>122</v>
      </c>
      <c r="H24" s="33"/>
      <c r="I24" s="11">
        <f t="shared" ref="I24:BQ24" si="5" xml:space="preserve">  IF( I19 = 0, $F18, I20 + I21 + I22 - I23 )</f>
        <v>0</v>
      </c>
      <c r="J24" s="11">
        <f t="shared" ca="1" si="5"/>
        <v>1000</v>
      </c>
      <c r="K24" s="11">
        <f t="shared" ca="1" si="5"/>
        <v>2000</v>
      </c>
      <c r="L24" s="11">
        <f t="shared" ca="1" si="5"/>
        <v>1000</v>
      </c>
      <c r="M24" s="11">
        <f t="shared" ca="1" si="5"/>
        <v>1000</v>
      </c>
      <c r="N24" s="11">
        <f t="shared" ca="1" si="5"/>
        <v>3000</v>
      </c>
      <c r="O24" s="11">
        <f t="shared" ca="1" si="5"/>
        <v>5000</v>
      </c>
      <c r="P24" s="11">
        <f t="shared" ca="1" si="5"/>
        <v>3000</v>
      </c>
      <c r="Q24" s="11">
        <f t="shared" ca="1" si="5"/>
        <v>5000</v>
      </c>
      <c r="R24" s="11">
        <f t="shared" ca="1" si="5"/>
        <v>8000</v>
      </c>
      <c r="S24" s="11">
        <f t="shared" ca="1" si="5"/>
        <v>13000</v>
      </c>
      <c r="T24" s="11">
        <f t="shared" ca="1" si="5"/>
        <v>8000</v>
      </c>
      <c r="U24" s="11">
        <f t="shared" ca="1" si="5"/>
        <v>13000</v>
      </c>
      <c r="V24" s="11">
        <f t="shared" ca="1" si="5"/>
        <v>8297.3154717964753</v>
      </c>
      <c r="W24" s="11">
        <f t="shared" ca="1" si="5"/>
        <v>5612.3102415468638</v>
      </c>
      <c r="X24" s="11">
        <f t="shared" ca="1" si="5"/>
        <v>9855.6612883569433</v>
      </c>
      <c r="Y24" s="11">
        <f t="shared" ca="1" si="5"/>
        <v>6299.6052494743653</v>
      </c>
      <c r="Z24" s="11">
        <f t="shared" ca="1" si="5"/>
        <v>12829.46580868148</v>
      </c>
      <c r="AA24" s="11">
        <f t="shared" ca="1" si="5"/>
        <v>19900.533620546954</v>
      </c>
      <c r="AB24" s="11">
        <f t="shared" ca="1" si="5"/>
        <v>27392.069004930359</v>
      </c>
      <c r="AC24" s="11">
        <f t="shared" ca="1" si="5"/>
        <v>35329.074264771356</v>
      </c>
      <c r="AD24" s="11">
        <f t="shared" ca="1" si="5"/>
        <v>43738.038417308504</v>
      </c>
      <c r="AE24" s="11">
        <f t="shared" ca="1" si="5"/>
        <v>47647.025598711902</v>
      </c>
      <c r="AF24" s="11">
        <f t="shared" ca="1" si="5"/>
        <v>52085.76872552884</v>
      </c>
      <c r="AG24" s="11">
        <f t="shared" ca="1" si="5"/>
        <v>57085.76872552884</v>
      </c>
      <c r="AH24" s="11">
        <f t="shared" ca="1" si="5"/>
        <v>58580.399669121791</v>
      </c>
      <c r="AI24" s="11">
        <f t="shared" ca="1" si="5"/>
        <v>65705.020152215526</v>
      </c>
      <c r="AJ24" s="11">
        <f t="shared" ca="1" si="5"/>
        <v>68497.091302242741</v>
      </c>
      <c r="AK24" s="11">
        <f t="shared" ca="1" si="5"/>
        <v>76996.301801191483</v>
      </c>
      <c r="AL24" s="11">
        <f t="shared" ca="1" si="5"/>
        <v>83044.700342891825</v>
      </c>
      <c r="AM24" s="11">
        <f t="shared" ca="1" si="5"/>
        <v>89886.835966622777</v>
      </c>
      <c r="AN24" s="11">
        <f t="shared" ca="1" si="5"/>
        <v>97569.906735389595</v>
      </c>
      <c r="AO24" s="11">
        <f t="shared" ca="1" si="5"/>
        <v>107943.9172550716</v>
      </c>
      <c r="AP24" s="11">
        <f t="shared" ca="1" si="5"/>
        <v>114261.8455601459</v>
      </c>
      <c r="AQ24" s="11">
        <f t="shared" ca="1" si="5"/>
        <v>126579.81992295268</v>
      </c>
      <c r="AR24" s="11">
        <f t="shared" ca="1" si="5"/>
        <v>134957.30617658657</v>
      </c>
      <c r="AS24" s="11">
        <f t="shared" ca="1" si="5"/>
        <v>144457.30617658657</v>
      </c>
      <c r="AT24" s="11">
        <f t="shared" ca="1" si="5"/>
        <v>150414.15198838932</v>
      </c>
      <c r="AU24" s="11">
        <f t="shared" ca="1" si="5"/>
        <v>162914.47217196896</v>
      </c>
      <c r="AV24" s="11">
        <f t="shared" ca="1" si="5"/>
        <v>172050.04648953563</v>
      </c>
      <c r="AW24" s="11">
        <f t="shared" ca="1" si="5"/>
        <v>177918.11221196005</v>
      </c>
      <c r="AX24" s="11">
        <f t="shared" ca="1" si="5"/>
        <v>190621.6886391259</v>
      </c>
      <c r="AY24" s="11">
        <f t="shared" ca="1" si="5"/>
        <v>200269.92091726678</v>
      </c>
      <c r="AZ24" s="11">
        <f t="shared" ca="1" si="5"/>
        <v>211978.4443007455</v>
      </c>
      <c r="BA24" s="11">
        <f t="shared" ca="1" si="5"/>
        <v>225869.77007396641</v>
      </c>
      <c r="BB24" s="11">
        <f t="shared" ca="1" si="5"/>
        <v>242073.69442139845</v>
      </c>
      <c r="BC24" s="11">
        <f t="shared" ca="1" si="5"/>
        <v>255727.73161027511</v>
      </c>
      <c r="BD24" s="11">
        <f t="shared" ca="1" si="5"/>
        <v>271977.57293167815</v>
      </c>
      <c r="BE24" s="11">
        <f t="shared" ca="1" si="5"/>
        <v>285977.57293167821</v>
      </c>
      <c r="BF24" s="11">
        <f t="shared" ca="1" si="5"/>
        <v>302891.26455528376</v>
      </c>
      <c r="BG24" s="11">
        <f t="shared" ca="1" si="5"/>
        <v>322891.90492244309</v>
      </c>
      <c r="BH24" s="11">
        <f t="shared" ca="1" si="5"/>
        <v>341163.0535575765</v>
      </c>
      <c r="BI24" s="11">
        <f t="shared" ca="1" si="5"/>
        <v>362899.18500242539</v>
      </c>
      <c r="BJ24" s="11">
        <f t="shared" ca="1" si="5"/>
        <v>383306.33785675722</v>
      </c>
      <c r="BK24" s="11">
        <f t="shared" ca="1" si="5"/>
        <v>407602.80241303897</v>
      </c>
      <c r="BL24" s="11">
        <f t="shared" ca="1" si="5"/>
        <v>431019.84917999641</v>
      </c>
      <c r="BM24" s="11">
        <f t="shared" ca="1" si="5"/>
        <v>458802.5007264383</v>
      </c>
      <c r="BN24" s="11">
        <f t="shared" ca="1" si="5"/>
        <v>486210.34942130244</v>
      </c>
      <c r="BO24" s="11">
        <f t="shared" ca="1" si="5"/>
        <v>513518.42379905586</v>
      </c>
      <c r="BP24" s="11">
        <f t="shared" ca="1" si="5"/>
        <v>546018.10644186195</v>
      </c>
      <c r="BQ24" s="11">
        <f t="shared" ca="1" si="5"/>
        <v>579018.10644186207</v>
      </c>
    </row>
    <row r="26" spans="1:69">
      <c r="B26" s="25" t="s">
        <v>221</v>
      </c>
    </row>
    <row r="27" spans="1:69" outlineLevel="1">
      <c r="A27" s="18"/>
      <c r="B27" s="18"/>
      <c r="C27" s="28"/>
      <c r="D27" s="27"/>
      <c r="E27" s="4" t="str">
        <f xml:space="preserve">  Inventory!E$60</f>
        <v>Units in stock BEG</v>
      </c>
      <c r="F27" s="4">
        <f xml:space="preserve">  Inventory!F$60</f>
        <v>0</v>
      </c>
      <c r="G27" s="4" t="str">
        <f xml:space="preserve">  Inventory!G$60</f>
        <v>Units</v>
      </c>
      <c r="H27" s="4">
        <f xml:space="preserve">  Inventory!H$60</f>
        <v>0</v>
      </c>
      <c r="I27" s="4">
        <f xml:space="preserve">  Inventory!I$60</f>
        <v>0</v>
      </c>
      <c r="J27" s="4">
        <f xml:space="preserve">  Inventory!J$60</f>
        <v>0</v>
      </c>
      <c r="K27" s="4">
        <f ca="1" xml:space="preserve">  Inventory!K$60</f>
        <v>0</v>
      </c>
      <c r="L27" s="4">
        <f ca="1" xml:space="preserve">  Inventory!L$60</f>
        <v>5000</v>
      </c>
      <c r="M27" s="4">
        <f ca="1" xml:space="preserve">  Inventory!M$60</f>
        <v>3000</v>
      </c>
      <c r="N27" s="4">
        <f ca="1" xml:space="preserve">  Inventory!N$60</f>
        <v>2000</v>
      </c>
      <c r="O27" s="4">
        <f ca="1" xml:space="preserve">  Inventory!O$60</f>
        <v>1000</v>
      </c>
      <c r="P27" s="4">
        <f ca="1" xml:space="preserve">  Inventory!P$60</f>
        <v>10000</v>
      </c>
      <c r="Q27" s="4">
        <f ca="1" xml:space="preserve">  Inventory!Q$60</f>
        <v>5000</v>
      </c>
      <c r="R27" s="4">
        <f ca="1" xml:space="preserve">  Inventory!R$60</f>
        <v>2000</v>
      </c>
      <c r="S27" s="4">
        <f ca="1" xml:space="preserve">  Inventory!S$60</f>
        <v>0</v>
      </c>
      <c r="T27" s="4">
        <f ca="1" xml:space="preserve">  Inventory!T$60</f>
        <v>10000</v>
      </c>
      <c r="U27" s="4">
        <f ca="1" xml:space="preserve">  Inventory!U$60</f>
        <v>0</v>
      </c>
      <c r="V27" s="4">
        <f ca="1" xml:space="preserve">  Inventory!V$60</f>
        <v>10000</v>
      </c>
      <c r="W27" s="4">
        <f ca="1" xml:space="preserve">  Inventory!W$60</f>
        <v>10000</v>
      </c>
      <c r="X27" s="4">
        <f ca="1" xml:space="preserve">  Inventory!X$60</f>
        <v>1702.6845282035247</v>
      </c>
      <c r="Y27" s="4">
        <f ca="1" xml:space="preserve">  Inventory!Y$60</f>
        <v>10000</v>
      </c>
      <c r="Z27" s="4">
        <f ca="1" xml:space="preserve">  Inventory!Z$60</f>
        <v>144.33871164305674</v>
      </c>
      <c r="AA27" s="4">
        <f ca="1" xml:space="preserve">  Inventory!AA$60</f>
        <v>0</v>
      </c>
      <c r="AB27" s="4">
        <f ca="1" xml:space="preserve">  Inventory!AB$60</f>
        <v>0</v>
      </c>
      <c r="AC27" s="4">
        <f ca="1" xml:space="preserve">  Inventory!AC$60</f>
        <v>0</v>
      </c>
      <c r="AD27" s="4">
        <f ca="1" xml:space="preserve">  Inventory!AD$60</f>
        <v>0</v>
      </c>
      <c r="AE27" s="4">
        <f ca="1" xml:space="preserve">  Inventory!AE$60</f>
        <v>5000</v>
      </c>
      <c r="AF27" s="4">
        <f ca="1" xml:space="preserve">  Inventory!AF$60</f>
        <v>5000</v>
      </c>
      <c r="AG27" s="4">
        <f ca="1" xml:space="preserve">  Inventory!AG$60</f>
        <v>5000</v>
      </c>
      <c r="AH27" s="4">
        <f ca="1" xml:space="preserve">  Inventory!AH$60</f>
        <v>10000</v>
      </c>
      <c r="AI27" s="4">
        <f ca="1" xml:space="preserve">  Inventory!AI$60</f>
        <v>5000</v>
      </c>
      <c r="AJ27" s="4">
        <f ca="1" xml:space="preserve">  Inventory!AJ$60</f>
        <v>10000</v>
      </c>
      <c r="AK27" s="4">
        <f ca="1" xml:space="preserve">  Inventory!AK$60</f>
        <v>5000</v>
      </c>
      <c r="AL27" s="4">
        <f ca="1" xml:space="preserve">  Inventory!AL$60</f>
        <v>10000</v>
      </c>
      <c r="AM27" s="4">
        <f ca="1" xml:space="preserve">  Inventory!AM$60</f>
        <v>10000</v>
      </c>
      <c r="AN27" s="4">
        <f ca="1" xml:space="preserve">  Inventory!AN$60</f>
        <v>10000</v>
      </c>
      <c r="AO27" s="4">
        <f ca="1" xml:space="preserve">  Inventory!AO$60</f>
        <v>10000</v>
      </c>
      <c r="AP27" s="4">
        <f ca="1" xml:space="preserve">  Inventory!AP$60</f>
        <v>15000</v>
      </c>
      <c r="AQ27" s="4">
        <f ca="1" xml:space="preserve">  Inventory!AQ$60</f>
        <v>10000</v>
      </c>
      <c r="AR27" s="4">
        <f ca="1" xml:space="preserve">  Inventory!AR$60</f>
        <v>15000</v>
      </c>
      <c r="AS27" s="4">
        <f ca="1" xml:space="preserve">  Inventory!AS$60</f>
        <v>15000</v>
      </c>
      <c r="AT27" s="4">
        <f ca="1" xml:space="preserve">  Inventory!AT$60</f>
        <v>20000</v>
      </c>
      <c r="AU27" s="4">
        <f ca="1" xml:space="preserve">  Inventory!AU$60</f>
        <v>15000</v>
      </c>
      <c r="AV27" s="4">
        <f ca="1" xml:space="preserve">  Inventory!AV$60</f>
        <v>20000</v>
      </c>
      <c r="AW27" s="4">
        <f ca="1" xml:space="preserve">  Inventory!AW$60</f>
        <v>25000</v>
      </c>
      <c r="AX27" s="4">
        <f ca="1" xml:space="preserve">  Inventory!AX$60</f>
        <v>20000</v>
      </c>
      <c r="AY27" s="4">
        <f ca="1" xml:space="preserve">  Inventory!AY$60</f>
        <v>25000</v>
      </c>
      <c r="AZ27" s="4">
        <f ca="1" xml:space="preserve">  Inventory!AZ$60</f>
        <v>25000</v>
      </c>
      <c r="BA27" s="4">
        <f ca="1" xml:space="preserve">  Inventory!BA$60</f>
        <v>25000</v>
      </c>
      <c r="BB27" s="4">
        <f ca="1" xml:space="preserve">  Inventory!BB$60</f>
        <v>25000</v>
      </c>
      <c r="BC27" s="4">
        <f ca="1" xml:space="preserve">  Inventory!BC$60</f>
        <v>30000</v>
      </c>
      <c r="BD27" s="4">
        <f ca="1" xml:space="preserve">  Inventory!BD$60</f>
        <v>30000.000000000004</v>
      </c>
      <c r="BE27" s="4">
        <f ca="1" xml:space="preserve">  Inventory!BE$60</f>
        <v>35000</v>
      </c>
      <c r="BF27" s="4">
        <f ca="1" xml:space="preserve">  Inventory!BF$60</f>
        <v>35000</v>
      </c>
      <c r="BG27" s="4">
        <f ca="1" xml:space="preserve">  Inventory!BG$60</f>
        <v>35000</v>
      </c>
      <c r="BH27" s="4">
        <f ca="1" xml:space="preserve">  Inventory!BH$60</f>
        <v>40000</v>
      </c>
      <c r="BI27" s="4">
        <f ca="1" xml:space="preserve">  Inventory!BI$60</f>
        <v>40000</v>
      </c>
      <c r="BJ27" s="4">
        <f ca="1" xml:space="preserve">  Inventory!BJ$60</f>
        <v>45000</v>
      </c>
      <c r="BK27" s="4">
        <f ca="1" xml:space="preserve">  Inventory!BK$60</f>
        <v>45000</v>
      </c>
      <c r="BL27" s="4">
        <f ca="1" xml:space="preserve">  Inventory!BL$60</f>
        <v>49999.999999999993</v>
      </c>
      <c r="BM27" s="4">
        <f ca="1" xml:space="preserve">  Inventory!BM$60</f>
        <v>50000.000000000007</v>
      </c>
      <c r="BN27" s="4">
        <f ca="1" xml:space="preserve">  Inventory!BN$60</f>
        <v>54999.999999999985</v>
      </c>
      <c r="BO27" s="4">
        <f ca="1" xml:space="preserve">  Inventory!BO$60</f>
        <v>60000</v>
      </c>
      <c r="BP27" s="4">
        <f ca="1" xml:space="preserve">  Inventory!BP$60</f>
        <v>60000</v>
      </c>
      <c r="BQ27" s="4">
        <f ca="1" xml:space="preserve">  Inventory!BQ$60</f>
        <v>65000</v>
      </c>
    </row>
    <row r="28" spans="1:69" outlineLevel="1">
      <c r="E28" s="2" t="str">
        <f t="shared" ref="E28:BQ28" si="6" xml:space="preserve">  E$20</f>
        <v>Customer Orders Awaiting Fullfilment BEG</v>
      </c>
      <c r="F28" s="2">
        <f t="shared" si="6"/>
        <v>0</v>
      </c>
      <c r="G28" s="2" t="str">
        <f t="shared" si="6"/>
        <v>Units</v>
      </c>
      <c r="H28" s="2">
        <f t="shared" si="6"/>
        <v>0</v>
      </c>
      <c r="I28" s="2">
        <f t="shared" si="6"/>
        <v>0</v>
      </c>
      <c r="J28" s="2">
        <f t="shared" si="6"/>
        <v>0</v>
      </c>
      <c r="K28" s="2">
        <f t="shared" ca="1" si="6"/>
        <v>1000</v>
      </c>
      <c r="L28" s="2">
        <f t="shared" ca="1" si="6"/>
        <v>2000</v>
      </c>
      <c r="M28" s="2">
        <f t="shared" ca="1" si="6"/>
        <v>1000</v>
      </c>
      <c r="N28" s="2">
        <f t="shared" ca="1" si="6"/>
        <v>1000</v>
      </c>
      <c r="O28" s="2">
        <f t="shared" ca="1" si="6"/>
        <v>3000</v>
      </c>
      <c r="P28" s="2">
        <f t="shared" ca="1" si="6"/>
        <v>5000</v>
      </c>
      <c r="Q28" s="2">
        <f t="shared" ca="1" si="6"/>
        <v>3000</v>
      </c>
      <c r="R28" s="2">
        <f t="shared" ca="1" si="6"/>
        <v>5000</v>
      </c>
      <c r="S28" s="2">
        <f t="shared" ca="1" si="6"/>
        <v>8000</v>
      </c>
      <c r="T28" s="2">
        <f t="shared" ca="1" si="6"/>
        <v>13000</v>
      </c>
      <c r="U28" s="2">
        <f t="shared" ca="1" si="6"/>
        <v>8000</v>
      </c>
      <c r="V28" s="2">
        <f t="shared" ca="1" si="6"/>
        <v>13000</v>
      </c>
      <c r="W28" s="2">
        <f t="shared" ca="1" si="6"/>
        <v>8297.3154717964753</v>
      </c>
      <c r="X28" s="2">
        <f t="shared" ca="1" si="6"/>
        <v>5612.3102415468638</v>
      </c>
      <c r="Y28" s="2">
        <f t="shared" ca="1" si="6"/>
        <v>9855.6612883569433</v>
      </c>
      <c r="Z28" s="2">
        <f t="shared" ca="1" si="6"/>
        <v>6299.6052494743653</v>
      </c>
      <c r="AA28" s="2">
        <f t="shared" ca="1" si="6"/>
        <v>12829.46580868148</v>
      </c>
      <c r="AB28" s="2">
        <f t="shared" ca="1" si="6"/>
        <v>19900.533620546954</v>
      </c>
      <c r="AC28" s="2">
        <f t="shared" ca="1" si="6"/>
        <v>27392.069004930359</v>
      </c>
      <c r="AD28" s="2">
        <f t="shared" ca="1" si="6"/>
        <v>35329.074264771356</v>
      </c>
      <c r="AE28" s="2">
        <f t="shared" ca="1" si="6"/>
        <v>43738.038417308504</v>
      </c>
      <c r="AF28" s="2">
        <f t="shared" ca="1" si="6"/>
        <v>47647.025598711902</v>
      </c>
      <c r="AG28" s="2">
        <f t="shared" ca="1" si="6"/>
        <v>52085.76872552884</v>
      </c>
      <c r="AH28" s="2">
        <f t="shared" ca="1" si="6"/>
        <v>57085.76872552884</v>
      </c>
      <c r="AI28" s="2">
        <f t="shared" ca="1" si="6"/>
        <v>58580.399669121791</v>
      </c>
      <c r="AJ28" s="2">
        <f t="shared" ca="1" si="6"/>
        <v>65705.020152215526</v>
      </c>
      <c r="AK28" s="2">
        <f t="shared" ca="1" si="6"/>
        <v>68497.091302242741</v>
      </c>
      <c r="AL28" s="2">
        <f t="shared" ca="1" si="6"/>
        <v>76996.301801191483</v>
      </c>
      <c r="AM28" s="2">
        <f t="shared" ca="1" si="6"/>
        <v>83044.700342891825</v>
      </c>
      <c r="AN28" s="2">
        <f t="shared" ca="1" si="6"/>
        <v>89886.835966622777</v>
      </c>
      <c r="AO28" s="2">
        <f t="shared" ca="1" si="6"/>
        <v>97569.906735389595</v>
      </c>
      <c r="AP28" s="2">
        <f t="shared" ca="1" si="6"/>
        <v>107943.9172550716</v>
      </c>
      <c r="AQ28" s="2">
        <f t="shared" ca="1" si="6"/>
        <v>114261.8455601459</v>
      </c>
      <c r="AR28" s="2">
        <f t="shared" ca="1" si="6"/>
        <v>126579.81992295268</v>
      </c>
      <c r="AS28" s="2">
        <f t="shared" ca="1" si="6"/>
        <v>134957.30617658657</v>
      </c>
      <c r="AT28" s="2">
        <f t="shared" ca="1" si="6"/>
        <v>144457.30617658657</v>
      </c>
      <c r="AU28" s="2">
        <f t="shared" ca="1" si="6"/>
        <v>150414.15198838932</v>
      </c>
      <c r="AV28" s="2">
        <f t="shared" ca="1" si="6"/>
        <v>162914.47217196896</v>
      </c>
      <c r="AW28" s="2">
        <f t="shared" ca="1" si="6"/>
        <v>172050.04648953563</v>
      </c>
      <c r="AX28" s="2">
        <f t="shared" ca="1" si="6"/>
        <v>177918.11221196005</v>
      </c>
      <c r="AY28" s="2">
        <f t="shared" ca="1" si="6"/>
        <v>190621.6886391259</v>
      </c>
      <c r="AZ28" s="2">
        <f t="shared" ca="1" si="6"/>
        <v>200269.92091726678</v>
      </c>
      <c r="BA28" s="2">
        <f t="shared" ca="1" si="6"/>
        <v>211978.4443007455</v>
      </c>
      <c r="BB28" s="2">
        <f t="shared" ca="1" si="6"/>
        <v>225869.77007396641</v>
      </c>
      <c r="BC28" s="2">
        <f t="shared" ca="1" si="6"/>
        <v>242073.69442139845</v>
      </c>
      <c r="BD28" s="2">
        <f t="shared" ca="1" si="6"/>
        <v>255727.73161027511</v>
      </c>
      <c r="BE28" s="2">
        <f t="shared" ca="1" si="6"/>
        <v>271977.57293167815</v>
      </c>
      <c r="BF28" s="2">
        <f t="shared" ca="1" si="6"/>
        <v>285977.57293167821</v>
      </c>
      <c r="BG28" s="2">
        <f t="shared" ca="1" si="6"/>
        <v>302891.26455528376</v>
      </c>
      <c r="BH28" s="2">
        <f t="shared" ca="1" si="6"/>
        <v>322891.90492244309</v>
      </c>
      <c r="BI28" s="2">
        <f t="shared" ca="1" si="6"/>
        <v>341163.0535575765</v>
      </c>
      <c r="BJ28" s="2">
        <f t="shared" ca="1" si="6"/>
        <v>362899.18500242539</v>
      </c>
      <c r="BK28" s="2">
        <f t="shared" ca="1" si="6"/>
        <v>383306.33785675722</v>
      </c>
      <c r="BL28" s="2">
        <f t="shared" ca="1" si="6"/>
        <v>407602.80241303897</v>
      </c>
      <c r="BM28" s="2">
        <f t="shared" ca="1" si="6"/>
        <v>431019.84917999641</v>
      </c>
      <c r="BN28" s="2">
        <f t="shared" ca="1" si="6"/>
        <v>458802.5007264383</v>
      </c>
      <c r="BO28" s="2">
        <f t="shared" ca="1" si="6"/>
        <v>486210.34942130244</v>
      </c>
      <c r="BP28" s="2">
        <f t="shared" ca="1" si="6"/>
        <v>513518.42379905586</v>
      </c>
      <c r="BQ28" s="2">
        <f t="shared" ca="1" si="6"/>
        <v>546018.10644186195</v>
      </c>
    </row>
    <row r="29" spans="1:69" outlineLevel="1">
      <c r="A29" s="34"/>
      <c r="B29" s="34"/>
      <c r="C29" s="64"/>
      <c r="D29" s="65"/>
      <c r="E29" s="21" t="s">
        <v>221</v>
      </c>
      <c r="F29" s="21"/>
      <c r="G29" s="21" t="s">
        <v>122</v>
      </c>
      <c r="H29" s="3">
        <f ca="1" xml:space="preserve"> SUM( J29:BQ29 )</f>
        <v>1070000</v>
      </c>
      <c r="I29" s="21"/>
      <c r="J29" s="3">
        <f t="shared" ref="J29:BQ29" si="7" xml:space="preserve">  IF( J27 &gt; 0, IF( J28 &gt; J27, J27, J28 ), 0 )</f>
        <v>0</v>
      </c>
      <c r="K29" s="3">
        <f t="shared" ca="1" si="7"/>
        <v>0</v>
      </c>
      <c r="L29" s="3">
        <f t="shared" ca="1" si="7"/>
        <v>2000</v>
      </c>
      <c r="M29" s="3">
        <f t="shared" ca="1" si="7"/>
        <v>1000</v>
      </c>
      <c r="N29" s="3">
        <f t="shared" ca="1" si="7"/>
        <v>1000</v>
      </c>
      <c r="O29" s="3">
        <f t="shared" ca="1" si="7"/>
        <v>1000</v>
      </c>
      <c r="P29" s="3">
        <f t="shared" ca="1" si="7"/>
        <v>5000</v>
      </c>
      <c r="Q29" s="3">
        <f t="shared" ca="1" si="7"/>
        <v>3000</v>
      </c>
      <c r="R29" s="3">
        <f t="shared" ca="1" si="7"/>
        <v>2000</v>
      </c>
      <c r="S29" s="3">
        <f t="shared" ca="1" si="7"/>
        <v>0</v>
      </c>
      <c r="T29" s="3">
        <f t="shared" ca="1" si="7"/>
        <v>10000</v>
      </c>
      <c r="U29" s="3">
        <f t="shared" ca="1" si="7"/>
        <v>0</v>
      </c>
      <c r="V29" s="3">
        <f t="shared" ca="1" si="7"/>
        <v>10000</v>
      </c>
      <c r="W29" s="3">
        <f t="shared" ca="1" si="7"/>
        <v>8297.3154717964753</v>
      </c>
      <c r="X29" s="3">
        <f t="shared" ca="1" si="7"/>
        <v>1702.6845282035247</v>
      </c>
      <c r="Y29" s="3">
        <f t="shared" ca="1" si="7"/>
        <v>9855.6612883569433</v>
      </c>
      <c r="Z29" s="3">
        <f t="shared" ca="1" si="7"/>
        <v>144.33871164305674</v>
      </c>
      <c r="AA29" s="3">
        <f t="shared" ca="1" si="7"/>
        <v>0</v>
      </c>
      <c r="AB29" s="3">
        <f t="shared" ca="1" si="7"/>
        <v>0</v>
      </c>
      <c r="AC29" s="3">
        <f t="shared" ca="1" si="7"/>
        <v>0</v>
      </c>
      <c r="AD29" s="3">
        <f t="shared" ca="1" si="7"/>
        <v>0</v>
      </c>
      <c r="AE29" s="3">
        <f t="shared" ca="1" si="7"/>
        <v>5000</v>
      </c>
      <c r="AF29" s="3">
        <f t="shared" ca="1" si="7"/>
        <v>5000</v>
      </c>
      <c r="AG29" s="3">
        <f t="shared" ca="1" si="7"/>
        <v>5000</v>
      </c>
      <c r="AH29" s="3">
        <f t="shared" ca="1" si="7"/>
        <v>10000</v>
      </c>
      <c r="AI29" s="3">
        <f t="shared" ca="1" si="7"/>
        <v>5000</v>
      </c>
      <c r="AJ29" s="3">
        <f t="shared" ca="1" si="7"/>
        <v>10000</v>
      </c>
      <c r="AK29" s="3">
        <f t="shared" ca="1" si="7"/>
        <v>5000</v>
      </c>
      <c r="AL29" s="3">
        <f t="shared" ca="1" si="7"/>
        <v>10000</v>
      </c>
      <c r="AM29" s="3">
        <f t="shared" ca="1" si="7"/>
        <v>10000</v>
      </c>
      <c r="AN29" s="3">
        <f t="shared" ca="1" si="7"/>
        <v>10000</v>
      </c>
      <c r="AO29" s="3">
        <f t="shared" ca="1" si="7"/>
        <v>10000</v>
      </c>
      <c r="AP29" s="3">
        <f t="shared" ca="1" si="7"/>
        <v>15000</v>
      </c>
      <c r="AQ29" s="3">
        <f t="shared" ca="1" si="7"/>
        <v>10000</v>
      </c>
      <c r="AR29" s="3">
        <f t="shared" ca="1" si="7"/>
        <v>15000</v>
      </c>
      <c r="AS29" s="3">
        <f t="shared" ca="1" si="7"/>
        <v>15000</v>
      </c>
      <c r="AT29" s="3">
        <f t="shared" ca="1" si="7"/>
        <v>20000</v>
      </c>
      <c r="AU29" s="3">
        <f t="shared" ca="1" si="7"/>
        <v>15000</v>
      </c>
      <c r="AV29" s="3">
        <f t="shared" ca="1" si="7"/>
        <v>20000</v>
      </c>
      <c r="AW29" s="3">
        <f t="shared" ca="1" si="7"/>
        <v>25000</v>
      </c>
      <c r="AX29" s="3">
        <f t="shared" ca="1" si="7"/>
        <v>20000</v>
      </c>
      <c r="AY29" s="3">
        <f t="shared" ca="1" si="7"/>
        <v>25000</v>
      </c>
      <c r="AZ29" s="3">
        <f t="shared" ca="1" si="7"/>
        <v>25000</v>
      </c>
      <c r="BA29" s="3">
        <f t="shared" ca="1" si="7"/>
        <v>25000</v>
      </c>
      <c r="BB29" s="3">
        <f t="shared" ca="1" si="7"/>
        <v>25000</v>
      </c>
      <c r="BC29" s="3">
        <f t="shared" ca="1" si="7"/>
        <v>30000</v>
      </c>
      <c r="BD29" s="3">
        <f t="shared" ca="1" si="7"/>
        <v>30000.000000000004</v>
      </c>
      <c r="BE29" s="3">
        <f t="shared" ca="1" si="7"/>
        <v>35000</v>
      </c>
      <c r="BF29" s="3">
        <f t="shared" ca="1" si="7"/>
        <v>35000</v>
      </c>
      <c r="BG29" s="3">
        <f t="shared" ca="1" si="7"/>
        <v>35000</v>
      </c>
      <c r="BH29" s="3">
        <f t="shared" ca="1" si="7"/>
        <v>40000</v>
      </c>
      <c r="BI29" s="3">
        <f t="shared" ca="1" si="7"/>
        <v>40000</v>
      </c>
      <c r="BJ29" s="3">
        <f t="shared" ca="1" si="7"/>
        <v>45000</v>
      </c>
      <c r="BK29" s="3">
        <f t="shared" ca="1" si="7"/>
        <v>45000</v>
      </c>
      <c r="BL29" s="3">
        <f t="shared" ca="1" si="7"/>
        <v>49999.999999999993</v>
      </c>
      <c r="BM29" s="3">
        <f t="shared" ca="1" si="7"/>
        <v>50000.000000000007</v>
      </c>
      <c r="BN29" s="3">
        <f t="shared" ca="1" si="7"/>
        <v>54999.999999999985</v>
      </c>
      <c r="BO29" s="3">
        <f t="shared" ca="1" si="7"/>
        <v>60000</v>
      </c>
      <c r="BP29" s="3">
        <f t="shared" ca="1" si="7"/>
        <v>60000</v>
      </c>
      <c r="BQ29" s="3">
        <f t="shared" ca="1" si="7"/>
        <v>65000</v>
      </c>
    </row>
    <row r="32" spans="1:69">
      <c r="B32" s="25" t="s">
        <v>345</v>
      </c>
    </row>
    <row r="33" spans="1:69" outlineLevel="1">
      <c r="A33" s="18"/>
      <c r="B33" s="18"/>
      <c r="C33" s="28"/>
      <c r="D33" s="27"/>
      <c r="E33" s="43" t="str">
        <f xml:space="preserve">  InpC!E$15</f>
        <v>Customer Retention</v>
      </c>
      <c r="F33" s="43">
        <f xml:space="preserve">  InpC!F$15</f>
        <v>0.9</v>
      </c>
      <c r="G33" s="43" t="str">
        <f xml:space="preserve">  InpC!G$15</f>
        <v>%</v>
      </c>
      <c r="M33" s="57"/>
    </row>
    <row r="34" spans="1:69" outlineLevel="1">
      <c r="E34" s="2" t="str">
        <f t="shared" ref="E34:BQ34" si="8" xml:space="preserve">  E$14</f>
        <v>New customer orders</v>
      </c>
      <c r="F34" s="2">
        <f t="shared" si="8"/>
        <v>0</v>
      </c>
      <c r="G34" s="2" t="str">
        <f t="shared" si="8"/>
        <v>Units</v>
      </c>
      <c r="H34" s="2">
        <f t="shared" si="8"/>
        <v>1374286.5308829343</v>
      </c>
      <c r="I34" s="2">
        <f t="shared" si="8"/>
        <v>0</v>
      </c>
      <c r="J34" s="2">
        <f t="shared" si="8"/>
        <v>1000</v>
      </c>
      <c r="K34" s="2">
        <f t="shared" si="8"/>
        <v>1000</v>
      </c>
      <c r="L34" s="2">
        <f t="shared" si="8"/>
        <v>1000</v>
      </c>
      <c r="M34" s="2">
        <f t="shared" si="8"/>
        <v>1000</v>
      </c>
      <c r="N34" s="2">
        <f t="shared" si="8"/>
        <v>3000</v>
      </c>
      <c r="O34" s="2">
        <f t="shared" si="8"/>
        <v>3000</v>
      </c>
      <c r="P34" s="2">
        <f t="shared" si="8"/>
        <v>3000</v>
      </c>
      <c r="Q34" s="2">
        <f t="shared" si="8"/>
        <v>5000</v>
      </c>
      <c r="R34" s="2">
        <f t="shared" si="8"/>
        <v>5000</v>
      </c>
      <c r="S34" s="2">
        <f t="shared" si="8"/>
        <v>5000</v>
      </c>
      <c r="T34" s="2">
        <f t="shared" si="8"/>
        <v>5000</v>
      </c>
      <c r="U34" s="2">
        <f t="shared" si="8"/>
        <v>5000</v>
      </c>
      <c r="V34" s="2">
        <f t="shared" si="8"/>
        <v>5297.3154717964762</v>
      </c>
      <c r="W34" s="2">
        <f t="shared" si="8"/>
        <v>5612.3102415468647</v>
      </c>
      <c r="X34" s="2">
        <f t="shared" si="8"/>
        <v>5946.035575013605</v>
      </c>
      <c r="Y34" s="2">
        <f t="shared" si="8"/>
        <v>6299.6052494743653</v>
      </c>
      <c r="Z34" s="2">
        <f t="shared" si="8"/>
        <v>6674.1992708501712</v>
      </c>
      <c r="AA34" s="2">
        <f t="shared" si="8"/>
        <v>7071.0678118654751</v>
      </c>
      <c r="AB34" s="2">
        <f t="shared" si="8"/>
        <v>7491.5353843834073</v>
      </c>
      <c r="AC34" s="2">
        <f t="shared" si="8"/>
        <v>7937.0052598409975</v>
      </c>
      <c r="AD34" s="2">
        <f t="shared" si="8"/>
        <v>8408.9641525371462</v>
      </c>
      <c r="AE34" s="2">
        <f t="shared" si="8"/>
        <v>8908.9871814033941</v>
      </c>
      <c r="AF34" s="2">
        <f t="shared" si="8"/>
        <v>9438.7431268169366</v>
      </c>
      <c r="AG34" s="2">
        <f t="shared" si="8"/>
        <v>10000.000000000002</v>
      </c>
      <c r="AH34" s="2">
        <f t="shared" si="8"/>
        <v>10594.630943592954</v>
      </c>
      <c r="AI34" s="2">
        <f t="shared" si="8"/>
        <v>11224.620483093731</v>
      </c>
      <c r="AJ34" s="2">
        <f t="shared" si="8"/>
        <v>11892.071150027214</v>
      </c>
      <c r="AK34" s="2">
        <f t="shared" si="8"/>
        <v>12599.210498948736</v>
      </c>
      <c r="AL34" s="2">
        <f t="shared" si="8"/>
        <v>13348.39854170035</v>
      </c>
      <c r="AM34" s="2">
        <f t="shared" si="8"/>
        <v>14142.135623730957</v>
      </c>
      <c r="AN34" s="2">
        <f t="shared" si="8"/>
        <v>14983.070768766824</v>
      </c>
      <c r="AO34" s="2">
        <f t="shared" si="8"/>
        <v>15874.010519682004</v>
      </c>
      <c r="AP34" s="2">
        <f t="shared" si="8"/>
        <v>16817.9283050743</v>
      </c>
      <c r="AQ34" s="2">
        <f t="shared" si="8"/>
        <v>17817.974362806795</v>
      </c>
      <c r="AR34" s="2">
        <f t="shared" si="8"/>
        <v>18877.486253633881</v>
      </c>
      <c r="AS34" s="2">
        <f t="shared" si="8"/>
        <v>20000.000000000011</v>
      </c>
      <c r="AT34" s="2">
        <f t="shared" si="8"/>
        <v>21189.261887185919</v>
      </c>
      <c r="AU34" s="2">
        <f t="shared" si="8"/>
        <v>22449.240966187477</v>
      </c>
      <c r="AV34" s="2">
        <f t="shared" si="8"/>
        <v>23784.142300054442</v>
      </c>
      <c r="AW34" s="2">
        <f t="shared" si="8"/>
        <v>25198.420997897487</v>
      </c>
      <c r="AX34" s="2">
        <f t="shared" si="8"/>
        <v>26696.797083400714</v>
      </c>
      <c r="AY34" s="2">
        <f t="shared" si="8"/>
        <v>28284.271247461929</v>
      </c>
      <c r="AZ34" s="2">
        <f t="shared" si="8"/>
        <v>29966.141537533662</v>
      </c>
      <c r="BA34" s="2">
        <f t="shared" si="8"/>
        <v>31748.021039364026</v>
      </c>
      <c r="BB34" s="2">
        <f t="shared" si="8"/>
        <v>33635.856610148621</v>
      </c>
      <c r="BC34" s="2">
        <f t="shared" si="8"/>
        <v>35635.948725613613</v>
      </c>
      <c r="BD34" s="2">
        <f t="shared" si="8"/>
        <v>37754.972507267783</v>
      </c>
      <c r="BE34" s="2">
        <f t="shared" si="8"/>
        <v>40000.000000000051</v>
      </c>
      <c r="BF34" s="2">
        <f t="shared" si="8"/>
        <v>42378.523774371868</v>
      </c>
      <c r="BG34" s="2">
        <f t="shared" si="8"/>
        <v>44898.481932374983</v>
      </c>
      <c r="BH34" s="2">
        <f t="shared" si="8"/>
        <v>47568.284600108913</v>
      </c>
      <c r="BI34" s="2">
        <f t="shared" si="8"/>
        <v>50396.841995795003</v>
      </c>
      <c r="BJ34" s="2">
        <f t="shared" si="8"/>
        <v>53393.594166801457</v>
      </c>
      <c r="BK34" s="2">
        <f t="shared" si="8"/>
        <v>56568.542494923888</v>
      </c>
      <c r="BL34" s="2">
        <f t="shared" si="8"/>
        <v>59932.283075067353</v>
      </c>
      <c r="BM34" s="2">
        <f t="shared" si="8"/>
        <v>63496.042078728082</v>
      </c>
      <c r="BN34" s="2">
        <f t="shared" si="8"/>
        <v>67271.713220297272</v>
      </c>
      <c r="BO34" s="2">
        <f t="shared" si="8"/>
        <v>71271.897451227269</v>
      </c>
      <c r="BP34" s="2">
        <f t="shared" si="8"/>
        <v>75509.94501453561</v>
      </c>
      <c r="BQ34" s="2">
        <f t="shared" si="8"/>
        <v>80000.000000000146</v>
      </c>
    </row>
    <row r="35" spans="1:69" outlineLevel="1">
      <c r="A35" s="34"/>
      <c r="B35" s="34"/>
      <c r="C35" s="64"/>
      <c r="D35" s="65"/>
      <c r="E35" s="21" t="s">
        <v>345</v>
      </c>
      <c r="F35" s="21"/>
      <c r="G35" s="21" t="s">
        <v>122</v>
      </c>
      <c r="H35" s="3">
        <f ca="1" xml:space="preserve"> SUM( J35:BQ35 )</f>
        <v>274731.57555892796</v>
      </c>
      <c r="I35" s="21"/>
      <c r="J35" s="3">
        <f ca="1" xml:space="preserve">  $F33 * IF( Time!J28 &lt; 1 + 24, 0, OFFSET( J34, 0, - 1 * ( 24 ) ) )</f>
        <v>0</v>
      </c>
      <c r="K35" s="3">
        <f ca="1" xml:space="preserve">  $F33 * IF( Time!K28 &lt; 1 + 24, 0, OFFSET( K34, 0, - 1 * ( 24 ) ) )</f>
        <v>0</v>
      </c>
      <c r="L35" s="3">
        <f ca="1" xml:space="preserve">  $F33 * IF( Time!L28 &lt; 1 + 24, 0, OFFSET( L34, 0, - 1 * ( 24 ) ) )</f>
        <v>0</v>
      </c>
      <c r="M35" s="3">
        <f ca="1" xml:space="preserve">  $F33 * IF( Time!M28 &lt; 1 + 24, 0, OFFSET( M34, 0, - 1 * ( 24 ) ) )</f>
        <v>0</v>
      </c>
      <c r="N35" s="3">
        <f ca="1" xml:space="preserve">  $F33 * IF( Time!N28 &lt; 1 + 24, 0, OFFSET( N34, 0, - 1 * ( 24 ) ) )</f>
        <v>0</v>
      </c>
      <c r="O35" s="3">
        <f ca="1" xml:space="preserve">  $F33 * IF( Time!O28 &lt; 1 + 24, 0, OFFSET( O34, 0, - 1 * ( 24 ) ) )</f>
        <v>0</v>
      </c>
      <c r="P35" s="3">
        <f ca="1" xml:space="preserve">  $F33 * IF( Time!P28 &lt; 1 + 24, 0, OFFSET( P34, 0, - 1 * ( 24 ) ) )</f>
        <v>0</v>
      </c>
      <c r="Q35" s="3">
        <f ca="1" xml:space="preserve">  $F33 * IF( Time!Q28 &lt; 1 + 24, 0, OFFSET( Q34, 0, - 1 * ( 24 ) ) )</f>
        <v>0</v>
      </c>
      <c r="R35" s="3">
        <f ca="1" xml:space="preserve">  $F33 * IF( Time!R28 &lt; 1 + 24, 0, OFFSET( R34, 0, - 1 * ( 24 ) ) )</f>
        <v>0</v>
      </c>
      <c r="S35" s="3">
        <f ca="1" xml:space="preserve">  $F33 * IF( Time!S28 &lt; 1 + 24, 0, OFFSET( S34, 0, - 1 * ( 24 ) ) )</f>
        <v>0</v>
      </c>
      <c r="T35" s="3">
        <f ca="1" xml:space="preserve">  $F33 * IF( Time!T28 &lt; 1 + 24, 0, OFFSET( T34, 0, - 1 * ( 24 ) ) )</f>
        <v>0</v>
      </c>
      <c r="U35" s="3">
        <f ca="1" xml:space="preserve">  $F33 * IF( Time!U28 &lt; 1 + 24, 0, OFFSET( U34, 0, - 1 * ( 24 ) ) )</f>
        <v>0</v>
      </c>
      <c r="V35" s="3">
        <f ca="1" xml:space="preserve">  $F33 * IF( Time!V28 &lt; 1 + 24, 0, OFFSET( V34, 0, - 1 * ( 24 ) ) )</f>
        <v>0</v>
      </c>
      <c r="W35" s="3">
        <f ca="1" xml:space="preserve">  $F33 * IF( Time!W28 &lt; 1 + 24, 0, OFFSET( W34, 0, - 1 * ( 24 ) ) )</f>
        <v>0</v>
      </c>
      <c r="X35" s="3">
        <f ca="1" xml:space="preserve">  $F33 * IF( Time!X28 &lt; 1 + 24, 0, OFFSET( X34, 0, - 1 * ( 24 ) ) )</f>
        <v>0</v>
      </c>
      <c r="Y35" s="3">
        <f ca="1" xml:space="preserve">  $F33 * IF( Time!Y28 &lt; 1 + 24, 0, OFFSET( Y34, 0, - 1 * ( 24 ) ) )</f>
        <v>0</v>
      </c>
      <c r="Z35" s="3">
        <f ca="1" xml:space="preserve">  $F33 * IF( Time!Z28 &lt; 1 + 24, 0, OFFSET( Z34, 0, - 1 * ( 24 ) ) )</f>
        <v>0</v>
      </c>
      <c r="AA35" s="3">
        <f ca="1" xml:space="preserve">  $F33 * IF( Time!AA28 &lt; 1 + 24, 0, OFFSET( AA34, 0, - 1 * ( 24 ) ) )</f>
        <v>0</v>
      </c>
      <c r="AB35" s="3">
        <f ca="1" xml:space="preserve">  $F33 * IF( Time!AB28 &lt; 1 + 24, 0, OFFSET( AB34, 0, - 1 * ( 24 ) ) )</f>
        <v>0</v>
      </c>
      <c r="AC35" s="3">
        <f ca="1" xml:space="preserve">  $F33 * IF( Time!AC28 &lt; 1 + 24, 0, OFFSET( AC34, 0, - 1 * ( 24 ) ) )</f>
        <v>0</v>
      </c>
      <c r="AD35" s="3">
        <f ca="1" xml:space="preserve">  $F33 * IF( Time!AD28 &lt; 1 + 24, 0, OFFSET( AD34, 0, - 1 * ( 24 ) ) )</f>
        <v>0</v>
      </c>
      <c r="AE35" s="3">
        <f ca="1" xml:space="preserve">  $F33 * IF( Time!AE28 &lt; 1 + 24, 0, OFFSET( AE34, 0, - 1 * ( 24 ) ) )</f>
        <v>0</v>
      </c>
      <c r="AF35" s="3">
        <f ca="1" xml:space="preserve">  $F33 * IF( Time!AF28 &lt; 1 + 24, 0, OFFSET( AF34, 0, - 1 * ( 24 ) ) )</f>
        <v>0</v>
      </c>
      <c r="AG35" s="3">
        <f ca="1" xml:space="preserve">  $F33 * IF( Time!AG28 &lt; 1 + 24, 0, OFFSET( AG34, 0, - 1 * ( 24 ) ) )</f>
        <v>0</v>
      </c>
      <c r="AH35" s="3">
        <f ca="1" xml:space="preserve">  $F33 * IF( Time!AH28 &lt; 1 + 24, 0, OFFSET( AH34, 0, - 1 * ( 24 ) ) )</f>
        <v>900</v>
      </c>
      <c r="AI35" s="3">
        <f ca="1" xml:space="preserve">  $F33 * IF( Time!AI28 &lt; 1 + 24, 0, OFFSET( AI34, 0, - 1 * ( 24 ) ) )</f>
        <v>900</v>
      </c>
      <c r="AJ35" s="3">
        <f ca="1" xml:space="preserve">  $F33 * IF( Time!AJ28 &lt; 1 + 24, 0, OFFSET( AJ34, 0, - 1 * ( 24 ) ) )</f>
        <v>900</v>
      </c>
      <c r="AK35" s="3">
        <f ca="1" xml:space="preserve">  $F33 * IF( Time!AK28 &lt; 1 + 24, 0, OFFSET( AK34, 0, - 1 * ( 24 ) ) )</f>
        <v>900</v>
      </c>
      <c r="AL35" s="3">
        <f ca="1" xml:space="preserve">  $F33 * IF( Time!AL28 &lt; 1 + 24, 0, OFFSET( AL34, 0, - 1 * ( 24 ) ) )</f>
        <v>2700</v>
      </c>
      <c r="AM35" s="3">
        <f ca="1" xml:space="preserve">  $F33 * IF( Time!AM28 &lt; 1 + 24, 0, OFFSET( AM34, 0, - 1 * ( 24 ) ) )</f>
        <v>2700</v>
      </c>
      <c r="AN35" s="3">
        <f ca="1" xml:space="preserve">  $F33 * IF( Time!AN28 &lt; 1 + 24, 0, OFFSET( AN34, 0, - 1 * ( 24 ) ) )</f>
        <v>2700</v>
      </c>
      <c r="AO35" s="3">
        <f ca="1" xml:space="preserve">  $F33 * IF( Time!AO28 &lt; 1 + 24, 0, OFFSET( AO34, 0, - 1 * ( 24 ) ) )</f>
        <v>4500</v>
      </c>
      <c r="AP35" s="3">
        <f ca="1" xml:space="preserve">  $F33 * IF( Time!AP28 &lt; 1 + 24, 0, OFFSET( AP34, 0, - 1 * ( 24 ) ) )</f>
        <v>4500</v>
      </c>
      <c r="AQ35" s="3">
        <f ca="1" xml:space="preserve">  $F33 * IF( Time!AQ28 &lt; 1 + 24, 0, OFFSET( AQ34, 0, - 1 * ( 24 ) ) )</f>
        <v>4500</v>
      </c>
      <c r="AR35" s="3">
        <f ca="1" xml:space="preserve">  $F33 * IF( Time!AR28 &lt; 1 + 24, 0, OFFSET( AR34, 0, - 1 * ( 24 ) ) )</f>
        <v>4500</v>
      </c>
      <c r="AS35" s="3">
        <f ca="1" xml:space="preserve">  $F33 * IF( Time!AS28 &lt; 1 + 24, 0, OFFSET( AS34, 0, - 1 * ( 24 ) ) )</f>
        <v>4500</v>
      </c>
      <c r="AT35" s="3">
        <f ca="1" xml:space="preserve">  $F33 * IF( Time!AT28 &lt; 1 + 24, 0, OFFSET( AT34, 0, - 1 * ( 24 ) ) )</f>
        <v>4767.5839246168289</v>
      </c>
      <c r="AU35" s="3">
        <f ca="1" xml:space="preserve">  $F33 * IF( Time!AU28 &lt; 1 + 24, 0, OFFSET( AU34, 0, - 1 * ( 24 ) ) )</f>
        <v>5051.0792173921782</v>
      </c>
      <c r="AV35" s="3">
        <f ca="1" xml:space="preserve">  $F33 * IF( Time!AV28 &lt; 1 + 24, 0, OFFSET( AV34, 0, - 1 * ( 24 ) ) )</f>
        <v>5351.4320175122448</v>
      </c>
      <c r="AW35" s="3">
        <f ca="1" xml:space="preserve">  $F33 * IF( Time!AW28 &lt; 1 + 24, 0, OFFSET( AW34, 0, - 1 * ( 24 ) ) )</f>
        <v>5669.6447245269292</v>
      </c>
      <c r="AX35" s="3">
        <f ca="1" xml:space="preserve">  $F33 * IF( Time!AX28 &lt; 1 + 24, 0, OFFSET( AX34, 0, - 1 * ( 24 ) ) )</f>
        <v>6006.7793437651544</v>
      </c>
      <c r="AY35" s="3">
        <f ca="1" xml:space="preserve">  $F33 * IF( Time!AY28 &lt; 1 + 24, 0, OFFSET( AY34, 0, - 1 * ( 24 ) ) )</f>
        <v>6363.9610306789273</v>
      </c>
      <c r="AZ35" s="3">
        <f ca="1" xml:space="preserve">  $F33 * IF( Time!AZ28 &lt; 1 + 24, 0, OFFSET( AZ34, 0, - 1 * ( 24 ) ) )</f>
        <v>6742.3818459450667</v>
      </c>
      <c r="BA35" s="3">
        <f ca="1" xml:space="preserve">  $F33 * IF( Time!BA28 &lt; 1 + 24, 0, OFFSET( BA34, 0, - 1 * ( 24 ) ) )</f>
        <v>7143.3047338568977</v>
      </c>
      <c r="BB35" s="3">
        <f ca="1" xml:space="preserve">  $F33 * IF( Time!BB28 &lt; 1 + 24, 0, OFFSET( BB34, 0, - 1 * ( 24 ) ) )</f>
        <v>7568.0677372834316</v>
      </c>
      <c r="BC35" s="3">
        <f ca="1" xml:space="preserve">  $F33 * IF( Time!BC28 &lt; 1 + 24, 0, OFFSET( BC34, 0, - 1 * ( 24 ) ) )</f>
        <v>8018.088463263055</v>
      </c>
      <c r="BD35" s="3">
        <f ca="1" xml:space="preserve">  $F33 * IF( Time!BD28 &lt; 1 + 24, 0, OFFSET( BD34, 0, - 1 * ( 24 ) ) )</f>
        <v>8494.8688141352432</v>
      </c>
      <c r="BE35" s="3">
        <f ca="1" xml:space="preserve">  $F33 * IF( Time!BE28 &lt; 1 + 24, 0, OFFSET( BE34, 0, - 1 * ( 24 ) ) )</f>
        <v>9000.0000000000018</v>
      </c>
      <c r="BF35" s="3">
        <f ca="1" xml:space="preserve">  $F33 * IF( Time!BF28 &lt; 1 + 24, 0, OFFSET( BF34, 0, - 1 * ( 24 ) ) )</f>
        <v>9535.1678492336596</v>
      </c>
      <c r="BG35" s="3">
        <f ca="1" xml:space="preserve">  $F33 * IF( Time!BG28 &lt; 1 + 24, 0, OFFSET( BG34, 0, - 1 * ( 24 ) ) )</f>
        <v>10102.158434784358</v>
      </c>
      <c r="BH35" s="3">
        <f ca="1" xml:space="preserve">  $F33 * IF( Time!BH28 &lt; 1 + 24, 0, OFFSET( BH34, 0, - 1 * ( 24 ) ) )</f>
        <v>10702.864035024493</v>
      </c>
      <c r="BI35" s="3">
        <f ca="1" xml:space="preserve">  $F33 * IF( Time!BI28 &lt; 1 + 24, 0, OFFSET( BI34, 0, - 1 * ( 24 ) ) )</f>
        <v>11339.289449053862</v>
      </c>
      <c r="BJ35" s="3">
        <f ca="1" xml:space="preserve">  $F33 * IF( Time!BJ28 &lt; 1 + 24, 0, OFFSET( BJ34, 0, - 1 * ( 24 ) ) )</f>
        <v>12013.558687530314</v>
      </c>
      <c r="BK35" s="3">
        <f ca="1" xml:space="preserve">  $F33 * IF( Time!BK28 &lt; 1 + 24, 0, OFFSET( BK34, 0, - 1 * ( 24 ) ) )</f>
        <v>12727.922061357862</v>
      </c>
      <c r="BL35" s="3">
        <f ca="1" xml:space="preserve">  $F33 * IF( Time!BL28 &lt; 1 + 24, 0, OFFSET( BL34, 0, - 1 * ( 24 ) ) )</f>
        <v>13484.763691890141</v>
      </c>
      <c r="BM35" s="3">
        <f ca="1" xml:space="preserve">  $F33 * IF( Time!BM28 &lt; 1 + 24, 0, OFFSET( BM34, 0, - 1 * ( 24 ) ) )</f>
        <v>14286.609467713804</v>
      </c>
      <c r="BN35" s="3">
        <f ca="1" xml:space="preserve">  $F33 * IF( Time!BN28 &lt; 1 + 24, 0, OFFSET( BN34, 0, - 1 * ( 24 ) ) )</f>
        <v>15136.13547456687</v>
      </c>
      <c r="BO35" s="3">
        <f ca="1" xml:space="preserve">  $F33 * IF( Time!BO28 &lt; 1 + 24, 0, OFFSET( BO34, 0, - 1 * ( 24 ) ) )</f>
        <v>16036.176926526115</v>
      </c>
      <c r="BP35" s="3">
        <f ca="1" xml:space="preserve">  $F33 * IF( Time!BP28 &lt; 1 + 24, 0, OFFSET( BP34, 0, - 1 * ( 24 ) ) )</f>
        <v>16989.737628270494</v>
      </c>
      <c r="BQ35" s="3">
        <f ca="1" xml:space="preserve">  $F33 * IF( Time!BQ28 &lt; 1 + 24, 0, OFFSET( BQ34, 0, - 1 * ( 24 ) ) )</f>
        <v>18000.000000000011</v>
      </c>
    </row>
    <row r="38" spans="1:69">
      <c r="B38" s="25" t="s">
        <v>173</v>
      </c>
    </row>
    <row r="39" spans="1:69" outlineLevel="1">
      <c r="A39" s="18"/>
      <c r="B39" s="18"/>
      <c r="C39" s="28"/>
      <c r="D39" s="27"/>
      <c r="E39" s="4" t="str">
        <f xml:space="preserve">  InpC!E$21</f>
        <v>Sales Price Unit</v>
      </c>
      <c r="F39" s="4">
        <f xml:space="preserve">  InpC!F$21</f>
        <v>35</v>
      </c>
      <c r="G39" s="4" t="str">
        <f xml:space="preserve">  InpC!G$21</f>
        <v>GBP</v>
      </c>
      <c r="M39" s="2"/>
    </row>
    <row r="40" spans="1:69" outlineLevel="1">
      <c r="A40" s="18"/>
      <c r="B40" s="18"/>
      <c r="C40" s="28"/>
      <c r="D40" s="27"/>
      <c r="E40" s="4" t="str">
        <f xml:space="preserve">  InpC!E$22</f>
        <v>Contract Length</v>
      </c>
      <c r="F40" s="4">
        <f xml:space="preserve">  InpC!F$22</f>
        <v>24</v>
      </c>
      <c r="G40" s="4" t="str">
        <f xml:space="preserve">  InpC!G$22</f>
        <v>Months</v>
      </c>
      <c r="M40" s="2"/>
    </row>
    <row r="41" spans="1:69" outlineLevel="1">
      <c r="E41" s="2" t="str">
        <f t="shared" ref="E41:BQ41" si="9" xml:space="preserve">  E$14</f>
        <v>New customer orders</v>
      </c>
      <c r="F41" s="2">
        <f t="shared" si="9"/>
        <v>0</v>
      </c>
      <c r="G41" s="2" t="str">
        <f t="shared" si="9"/>
        <v>Units</v>
      </c>
      <c r="H41" s="2">
        <f t="shared" si="9"/>
        <v>1374286.5308829343</v>
      </c>
      <c r="I41" s="2">
        <f t="shared" si="9"/>
        <v>0</v>
      </c>
      <c r="J41" s="2">
        <f t="shared" si="9"/>
        <v>1000</v>
      </c>
      <c r="K41" s="2">
        <f t="shared" si="9"/>
        <v>1000</v>
      </c>
      <c r="L41" s="2">
        <f t="shared" si="9"/>
        <v>1000</v>
      </c>
      <c r="M41" s="2">
        <f t="shared" si="9"/>
        <v>1000</v>
      </c>
      <c r="N41" s="2">
        <f t="shared" si="9"/>
        <v>3000</v>
      </c>
      <c r="O41" s="2">
        <f t="shared" si="9"/>
        <v>3000</v>
      </c>
      <c r="P41" s="2">
        <f t="shared" si="9"/>
        <v>3000</v>
      </c>
      <c r="Q41" s="2">
        <f t="shared" si="9"/>
        <v>5000</v>
      </c>
      <c r="R41" s="2">
        <f t="shared" si="9"/>
        <v>5000</v>
      </c>
      <c r="S41" s="2">
        <f t="shared" si="9"/>
        <v>5000</v>
      </c>
      <c r="T41" s="2">
        <f t="shared" si="9"/>
        <v>5000</v>
      </c>
      <c r="U41" s="2">
        <f t="shared" si="9"/>
        <v>5000</v>
      </c>
      <c r="V41" s="2">
        <f t="shared" si="9"/>
        <v>5297.3154717964762</v>
      </c>
      <c r="W41" s="2">
        <f t="shared" si="9"/>
        <v>5612.3102415468647</v>
      </c>
      <c r="X41" s="2">
        <f t="shared" si="9"/>
        <v>5946.035575013605</v>
      </c>
      <c r="Y41" s="2">
        <f t="shared" si="9"/>
        <v>6299.6052494743653</v>
      </c>
      <c r="Z41" s="2">
        <f t="shared" si="9"/>
        <v>6674.1992708501712</v>
      </c>
      <c r="AA41" s="2">
        <f t="shared" si="9"/>
        <v>7071.0678118654751</v>
      </c>
      <c r="AB41" s="2">
        <f t="shared" si="9"/>
        <v>7491.5353843834073</v>
      </c>
      <c r="AC41" s="2">
        <f t="shared" si="9"/>
        <v>7937.0052598409975</v>
      </c>
      <c r="AD41" s="2">
        <f t="shared" si="9"/>
        <v>8408.9641525371462</v>
      </c>
      <c r="AE41" s="2">
        <f t="shared" si="9"/>
        <v>8908.9871814033941</v>
      </c>
      <c r="AF41" s="2">
        <f t="shared" si="9"/>
        <v>9438.7431268169366</v>
      </c>
      <c r="AG41" s="2">
        <f t="shared" si="9"/>
        <v>10000.000000000002</v>
      </c>
      <c r="AH41" s="2">
        <f t="shared" si="9"/>
        <v>10594.630943592954</v>
      </c>
      <c r="AI41" s="2">
        <f t="shared" si="9"/>
        <v>11224.620483093731</v>
      </c>
      <c r="AJ41" s="2">
        <f t="shared" si="9"/>
        <v>11892.071150027214</v>
      </c>
      <c r="AK41" s="2">
        <f t="shared" si="9"/>
        <v>12599.210498948736</v>
      </c>
      <c r="AL41" s="2">
        <f t="shared" si="9"/>
        <v>13348.39854170035</v>
      </c>
      <c r="AM41" s="2">
        <f t="shared" si="9"/>
        <v>14142.135623730957</v>
      </c>
      <c r="AN41" s="2">
        <f t="shared" si="9"/>
        <v>14983.070768766824</v>
      </c>
      <c r="AO41" s="2">
        <f t="shared" si="9"/>
        <v>15874.010519682004</v>
      </c>
      <c r="AP41" s="2">
        <f t="shared" si="9"/>
        <v>16817.9283050743</v>
      </c>
      <c r="AQ41" s="2">
        <f t="shared" si="9"/>
        <v>17817.974362806795</v>
      </c>
      <c r="AR41" s="2">
        <f t="shared" si="9"/>
        <v>18877.486253633881</v>
      </c>
      <c r="AS41" s="2">
        <f t="shared" si="9"/>
        <v>20000.000000000011</v>
      </c>
      <c r="AT41" s="2">
        <f t="shared" si="9"/>
        <v>21189.261887185919</v>
      </c>
      <c r="AU41" s="2">
        <f t="shared" si="9"/>
        <v>22449.240966187477</v>
      </c>
      <c r="AV41" s="2">
        <f t="shared" si="9"/>
        <v>23784.142300054442</v>
      </c>
      <c r="AW41" s="2">
        <f t="shared" si="9"/>
        <v>25198.420997897487</v>
      </c>
      <c r="AX41" s="2">
        <f t="shared" si="9"/>
        <v>26696.797083400714</v>
      </c>
      <c r="AY41" s="2">
        <f t="shared" si="9"/>
        <v>28284.271247461929</v>
      </c>
      <c r="AZ41" s="2">
        <f t="shared" si="9"/>
        <v>29966.141537533662</v>
      </c>
      <c r="BA41" s="2">
        <f t="shared" si="9"/>
        <v>31748.021039364026</v>
      </c>
      <c r="BB41" s="2">
        <f t="shared" si="9"/>
        <v>33635.856610148621</v>
      </c>
      <c r="BC41" s="2">
        <f t="shared" si="9"/>
        <v>35635.948725613613</v>
      </c>
      <c r="BD41" s="2">
        <f t="shared" si="9"/>
        <v>37754.972507267783</v>
      </c>
      <c r="BE41" s="2">
        <f t="shared" si="9"/>
        <v>40000.000000000051</v>
      </c>
      <c r="BF41" s="2">
        <f t="shared" si="9"/>
        <v>42378.523774371868</v>
      </c>
      <c r="BG41" s="2">
        <f t="shared" si="9"/>
        <v>44898.481932374983</v>
      </c>
      <c r="BH41" s="2">
        <f t="shared" si="9"/>
        <v>47568.284600108913</v>
      </c>
      <c r="BI41" s="2">
        <f t="shared" si="9"/>
        <v>50396.841995795003</v>
      </c>
      <c r="BJ41" s="2">
        <f t="shared" si="9"/>
        <v>53393.594166801457</v>
      </c>
      <c r="BK41" s="2">
        <f t="shared" si="9"/>
        <v>56568.542494923888</v>
      </c>
      <c r="BL41" s="2">
        <f t="shared" si="9"/>
        <v>59932.283075067353</v>
      </c>
      <c r="BM41" s="2">
        <f t="shared" si="9"/>
        <v>63496.042078728082</v>
      </c>
      <c r="BN41" s="2">
        <f t="shared" si="9"/>
        <v>67271.713220297272</v>
      </c>
      <c r="BO41" s="2">
        <f t="shared" si="9"/>
        <v>71271.897451227269</v>
      </c>
      <c r="BP41" s="2">
        <f t="shared" si="9"/>
        <v>75509.94501453561</v>
      </c>
      <c r="BQ41" s="2">
        <f t="shared" si="9"/>
        <v>80000.000000000146</v>
      </c>
    </row>
    <row r="42" spans="1:69" outlineLevel="1">
      <c r="E42" s="2" t="str">
        <f t="shared" ref="E42:BQ42" si="10" xml:space="preserve">  E$35</f>
        <v>Renewing Customer Orders</v>
      </c>
      <c r="F42" s="2">
        <f t="shared" si="10"/>
        <v>0</v>
      </c>
      <c r="G42" s="2" t="str">
        <f t="shared" si="10"/>
        <v>Units</v>
      </c>
      <c r="H42" s="2">
        <f t="shared" ca="1" si="10"/>
        <v>274731.57555892796</v>
      </c>
      <c r="I42" s="2">
        <f t="shared" si="10"/>
        <v>0</v>
      </c>
      <c r="J42" s="2">
        <f t="shared" ca="1" si="10"/>
        <v>0</v>
      </c>
      <c r="K42" s="2">
        <f t="shared" ca="1" si="10"/>
        <v>0</v>
      </c>
      <c r="L42" s="2">
        <f t="shared" ca="1" si="10"/>
        <v>0</v>
      </c>
      <c r="M42" s="2">
        <f t="shared" ca="1" si="10"/>
        <v>0</v>
      </c>
      <c r="N42" s="2">
        <f t="shared" ca="1" si="10"/>
        <v>0</v>
      </c>
      <c r="O42" s="2">
        <f t="shared" ca="1" si="10"/>
        <v>0</v>
      </c>
      <c r="P42" s="2">
        <f t="shared" ca="1" si="10"/>
        <v>0</v>
      </c>
      <c r="Q42" s="2">
        <f t="shared" ca="1" si="10"/>
        <v>0</v>
      </c>
      <c r="R42" s="2">
        <f t="shared" ca="1" si="10"/>
        <v>0</v>
      </c>
      <c r="S42" s="2">
        <f t="shared" ca="1" si="10"/>
        <v>0</v>
      </c>
      <c r="T42" s="2">
        <f t="shared" ca="1" si="10"/>
        <v>0</v>
      </c>
      <c r="U42" s="2">
        <f t="shared" ca="1" si="10"/>
        <v>0</v>
      </c>
      <c r="V42" s="2">
        <f t="shared" ca="1" si="10"/>
        <v>0</v>
      </c>
      <c r="W42" s="2">
        <f t="shared" ca="1" si="10"/>
        <v>0</v>
      </c>
      <c r="X42" s="2">
        <f t="shared" ca="1" si="10"/>
        <v>0</v>
      </c>
      <c r="Y42" s="2">
        <f t="shared" ca="1" si="10"/>
        <v>0</v>
      </c>
      <c r="Z42" s="2">
        <f t="shared" ca="1" si="10"/>
        <v>0</v>
      </c>
      <c r="AA42" s="2">
        <f t="shared" ca="1" si="10"/>
        <v>0</v>
      </c>
      <c r="AB42" s="2">
        <f t="shared" ca="1" si="10"/>
        <v>0</v>
      </c>
      <c r="AC42" s="2">
        <f t="shared" ca="1" si="10"/>
        <v>0</v>
      </c>
      <c r="AD42" s="2">
        <f t="shared" ca="1" si="10"/>
        <v>0</v>
      </c>
      <c r="AE42" s="2">
        <f t="shared" ca="1" si="10"/>
        <v>0</v>
      </c>
      <c r="AF42" s="2">
        <f t="shared" ca="1" si="10"/>
        <v>0</v>
      </c>
      <c r="AG42" s="2">
        <f t="shared" ca="1" si="10"/>
        <v>0</v>
      </c>
      <c r="AH42" s="2">
        <f t="shared" ca="1" si="10"/>
        <v>900</v>
      </c>
      <c r="AI42" s="2">
        <f t="shared" ca="1" si="10"/>
        <v>900</v>
      </c>
      <c r="AJ42" s="2">
        <f t="shared" ca="1" si="10"/>
        <v>900</v>
      </c>
      <c r="AK42" s="2">
        <f t="shared" ca="1" si="10"/>
        <v>900</v>
      </c>
      <c r="AL42" s="2">
        <f t="shared" ca="1" si="10"/>
        <v>2700</v>
      </c>
      <c r="AM42" s="2">
        <f t="shared" ca="1" si="10"/>
        <v>2700</v>
      </c>
      <c r="AN42" s="2">
        <f t="shared" ca="1" si="10"/>
        <v>2700</v>
      </c>
      <c r="AO42" s="2">
        <f t="shared" ca="1" si="10"/>
        <v>4500</v>
      </c>
      <c r="AP42" s="2">
        <f t="shared" ca="1" si="10"/>
        <v>4500</v>
      </c>
      <c r="AQ42" s="2">
        <f t="shared" ca="1" si="10"/>
        <v>4500</v>
      </c>
      <c r="AR42" s="2">
        <f t="shared" ca="1" si="10"/>
        <v>4500</v>
      </c>
      <c r="AS42" s="2">
        <f t="shared" ca="1" si="10"/>
        <v>4500</v>
      </c>
      <c r="AT42" s="2">
        <f t="shared" ca="1" si="10"/>
        <v>4767.5839246168289</v>
      </c>
      <c r="AU42" s="2">
        <f t="shared" ca="1" si="10"/>
        <v>5051.0792173921782</v>
      </c>
      <c r="AV42" s="2">
        <f t="shared" ca="1" si="10"/>
        <v>5351.4320175122448</v>
      </c>
      <c r="AW42" s="2">
        <f t="shared" ca="1" si="10"/>
        <v>5669.6447245269292</v>
      </c>
      <c r="AX42" s="2">
        <f t="shared" ca="1" si="10"/>
        <v>6006.7793437651544</v>
      </c>
      <c r="AY42" s="2">
        <f t="shared" ca="1" si="10"/>
        <v>6363.9610306789273</v>
      </c>
      <c r="AZ42" s="2">
        <f t="shared" ca="1" si="10"/>
        <v>6742.3818459450667</v>
      </c>
      <c r="BA42" s="2">
        <f t="shared" ca="1" si="10"/>
        <v>7143.3047338568977</v>
      </c>
      <c r="BB42" s="2">
        <f t="shared" ca="1" si="10"/>
        <v>7568.0677372834316</v>
      </c>
      <c r="BC42" s="2">
        <f t="shared" ca="1" si="10"/>
        <v>8018.088463263055</v>
      </c>
      <c r="BD42" s="2">
        <f t="shared" ca="1" si="10"/>
        <v>8494.8688141352432</v>
      </c>
      <c r="BE42" s="2">
        <f t="shared" ca="1" si="10"/>
        <v>9000.0000000000018</v>
      </c>
      <c r="BF42" s="2">
        <f t="shared" ca="1" si="10"/>
        <v>9535.1678492336596</v>
      </c>
      <c r="BG42" s="2">
        <f t="shared" ca="1" si="10"/>
        <v>10102.158434784358</v>
      </c>
      <c r="BH42" s="2">
        <f t="shared" ca="1" si="10"/>
        <v>10702.864035024493</v>
      </c>
      <c r="BI42" s="2">
        <f t="shared" ca="1" si="10"/>
        <v>11339.289449053862</v>
      </c>
      <c r="BJ42" s="2">
        <f t="shared" ca="1" si="10"/>
        <v>12013.558687530314</v>
      </c>
      <c r="BK42" s="2">
        <f t="shared" ca="1" si="10"/>
        <v>12727.922061357862</v>
      </c>
      <c r="BL42" s="2">
        <f t="shared" ca="1" si="10"/>
        <v>13484.763691890141</v>
      </c>
      <c r="BM42" s="2">
        <f t="shared" ca="1" si="10"/>
        <v>14286.609467713804</v>
      </c>
      <c r="BN42" s="2">
        <f t="shared" ca="1" si="10"/>
        <v>15136.13547456687</v>
      </c>
      <c r="BO42" s="2">
        <f t="shared" ca="1" si="10"/>
        <v>16036.176926526115</v>
      </c>
      <c r="BP42" s="2">
        <f t="shared" ca="1" si="10"/>
        <v>16989.737628270494</v>
      </c>
      <c r="BQ42" s="2">
        <f t="shared" ca="1" si="10"/>
        <v>18000.000000000011</v>
      </c>
    </row>
    <row r="43" spans="1:69" outlineLevel="1">
      <c r="A43" s="34"/>
      <c r="B43" s="34"/>
      <c r="C43" s="64"/>
      <c r="D43" s="65"/>
      <c r="E43" s="21" t="s">
        <v>173</v>
      </c>
      <c r="F43" s="21"/>
      <c r="G43" s="21" t="s">
        <v>257</v>
      </c>
      <c r="H43" s="3">
        <f ca="1" xml:space="preserve"> SUM( J43:BQ43 )</f>
        <v>1385175209.4111643</v>
      </c>
      <c r="I43" s="21"/>
      <c r="J43" s="3">
        <f t="shared" ref="J43:BQ43" ca="1" si="11" xml:space="preserve">  ( J41 + J42 ) * $F39 * $F40</f>
        <v>840000</v>
      </c>
      <c r="K43" s="3">
        <f t="shared" ca="1" si="11"/>
        <v>840000</v>
      </c>
      <c r="L43" s="3">
        <f t="shared" ca="1" si="11"/>
        <v>840000</v>
      </c>
      <c r="M43" s="3">
        <f t="shared" ca="1" si="11"/>
        <v>840000</v>
      </c>
      <c r="N43" s="3">
        <f t="shared" ca="1" si="11"/>
        <v>2520000</v>
      </c>
      <c r="O43" s="3">
        <f t="shared" ca="1" si="11"/>
        <v>2520000</v>
      </c>
      <c r="P43" s="3">
        <f t="shared" ca="1" si="11"/>
        <v>2520000</v>
      </c>
      <c r="Q43" s="3">
        <f t="shared" ca="1" si="11"/>
        <v>4200000</v>
      </c>
      <c r="R43" s="3">
        <f t="shared" ca="1" si="11"/>
        <v>4200000</v>
      </c>
      <c r="S43" s="3">
        <f t="shared" ca="1" si="11"/>
        <v>4200000</v>
      </c>
      <c r="T43" s="3">
        <f t="shared" ca="1" si="11"/>
        <v>4200000</v>
      </c>
      <c r="U43" s="3">
        <f t="shared" ca="1" si="11"/>
        <v>4200000</v>
      </c>
      <c r="V43" s="3">
        <f t="shared" ca="1" si="11"/>
        <v>4449744.9963090401</v>
      </c>
      <c r="W43" s="3">
        <f t="shared" ca="1" si="11"/>
        <v>4714340.6028993661</v>
      </c>
      <c r="X43" s="3">
        <f t="shared" ca="1" si="11"/>
        <v>4994669.8830114286</v>
      </c>
      <c r="Y43" s="3">
        <f t="shared" ca="1" si="11"/>
        <v>5291668.4095584676</v>
      </c>
      <c r="Z43" s="3">
        <f t="shared" ca="1" si="11"/>
        <v>5606327.3875141442</v>
      </c>
      <c r="AA43" s="3">
        <f t="shared" ca="1" si="11"/>
        <v>5939696.9619669989</v>
      </c>
      <c r="AB43" s="3">
        <f t="shared" ca="1" si="11"/>
        <v>6292889.7228820622</v>
      </c>
      <c r="AC43" s="3">
        <f t="shared" ca="1" si="11"/>
        <v>6667084.4182664379</v>
      </c>
      <c r="AD43" s="3">
        <f t="shared" ca="1" si="11"/>
        <v>7063529.8881312031</v>
      </c>
      <c r="AE43" s="3">
        <f t="shared" ca="1" si="11"/>
        <v>7483549.2323788516</v>
      </c>
      <c r="AF43" s="3">
        <f t="shared" ca="1" si="11"/>
        <v>7928544.2265262268</v>
      </c>
      <c r="AG43" s="3">
        <f t="shared" ca="1" si="11"/>
        <v>8400000.0000000019</v>
      </c>
      <c r="AH43" s="3">
        <f t="shared" ca="1" si="11"/>
        <v>9655489.9926180802</v>
      </c>
      <c r="AI43" s="3">
        <f t="shared" ca="1" si="11"/>
        <v>10184681.205798734</v>
      </c>
      <c r="AJ43" s="3">
        <f t="shared" ca="1" si="11"/>
        <v>10745339.766022859</v>
      </c>
      <c r="AK43" s="3">
        <f t="shared" ca="1" si="11"/>
        <v>11339336.819116939</v>
      </c>
      <c r="AL43" s="3">
        <f t="shared" ca="1" si="11"/>
        <v>13480654.775028296</v>
      </c>
      <c r="AM43" s="3">
        <f t="shared" ca="1" si="11"/>
        <v>14147393.923934005</v>
      </c>
      <c r="AN43" s="3">
        <f t="shared" ca="1" si="11"/>
        <v>14853779.445764136</v>
      </c>
      <c r="AO43" s="3">
        <f t="shared" ca="1" si="11"/>
        <v>17114168.836532883</v>
      </c>
      <c r="AP43" s="3">
        <f t="shared" ca="1" si="11"/>
        <v>17907059.77626241</v>
      </c>
      <c r="AQ43" s="3">
        <f t="shared" ca="1" si="11"/>
        <v>18747098.464757711</v>
      </c>
      <c r="AR43" s="3">
        <f t="shared" ca="1" si="11"/>
        <v>19637088.453052457</v>
      </c>
      <c r="AS43" s="3">
        <f t="shared" ca="1" si="11"/>
        <v>20580000.000000007</v>
      </c>
      <c r="AT43" s="3">
        <f t="shared" ca="1" si="11"/>
        <v>21803750.481914308</v>
      </c>
      <c r="AU43" s="3">
        <f t="shared" ca="1" si="11"/>
        <v>23100268.954206914</v>
      </c>
      <c r="AV43" s="3">
        <f t="shared" ca="1" si="11"/>
        <v>24473882.426756017</v>
      </c>
      <c r="AW43" s="3">
        <f t="shared" ca="1" si="11"/>
        <v>25929175.20683651</v>
      </c>
      <c r="AX43" s="3">
        <f t="shared" ca="1" si="11"/>
        <v>27471004.198819332</v>
      </c>
      <c r="AY43" s="3">
        <f t="shared" ca="1" si="11"/>
        <v>29104515.113638323</v>
      </c>
      <c r="AZ43" s="3">
        <f t="shared" ca="1" si="11"/>
        <v>30835159.642122131</v>
      </c>
      <c r="BA43" s="3">
        <f t="shared" ca="1" si="11"/>
        <v>32668713.649505574</v>
      </c>
      <c r="BB43" s="3">
        <f t="shared" ca="1" si="11"/>
        <v>34611296.451842919</v>
      </c>
      <c r="BC43" s="3">
        <f t="shared" ca="1" si="11"/>
        <v>36669391.238656402</v>
      </c>
      <c r="BD43" s="3">
        <f t="shared" ca="1" si="11"/>
        <v>38849866.709978543</v>
      </c>
      <c r="BE43" s="3">
        <f t="shared" ca="1" si="11"/>
        <v>41160000.000000045</v>
      </c>
      <c r="BF43" s="3">
        <f t="shared" ca="1" si="11"/>
        <v>43607500.963828646</v>
      </c>
      <c r="BG43" s="3">
        <f t="shared" ca="1" si="11"/>
        <v>46200537.908413842</v>
      </c>
      <c r="BH43" s="3">
        <f t="shared" ca="1" si="11"/>
        <v>48947764.853512056</v>
      </c>
      <c r="BI43" s="3">
        <f t="shared" ca="1" si="11"/>
        <v>51858350.413673043</v>
      </c>
      <c r="BJ43" s="3">
        <f t="shared" ca="1" si="11"/>
        <v>54942008.397638686</v>
      </c>
      <c r="BK43" s="3">
        <f t="shared" ca="1" si="11"/>
        <v>58209030.227276668</v>
      </c>
      <c r="BL43" s="3">
        <f t="shared" ca="1" si="11"/>
        <v>61670319.284244306</v>
      </c>
      <c r="BM43" s="3">
        <f t="shared" ca="1" si="11"/>
        <v>65337427.299011193</v>
      </c>
      <c r="BN43" s="3">
        <f t="shared" ca="1" si="11"/>
        <v>69222592.903685883</v>
      </c>
      <c r="BO43" s="3">
        <f t="shared" ca="1" si="11"/>
        <v>73338782.477312833</v>
      </c>
      <c r="BP43" s="3">
        <f t="shared" ca="1" si="11"/>
        <v>77699733.419957131</v>
      </c>
      <c r="BQ43" s="3">
        <f t="shared" ca="1" si="11"/>
        <v>82320000.000000134</v>
      </c>
    </row>
    <row r="46" spans="1:69">
      <c r="B46" s="25" t="s">
        <v>271</v>
      </c>
    </row>
  </sheetData>
  <conditionalFormatting sqref="F2:F3">
    <cfRule type="cellIs" dxfId="238" priority="1" stopIfTrue="1" operator="notEqual">
      <formula>0</formula>
    </cfRule>
    <cfRule type="cellIs" dxfId="237" priority="2" stopIfTrue="1" operator="equal">
      <formula>""</formula>
    </cfRule>
  </conditionalFormatting>
  <conditionalFormatting sqref="J3:BQ3">
    <cfRule type="cellIs" dxfId="236" priority="8" operator="equal">
      <formula>"PPA ext."</formula>
    </cfRule>
    <cfRule type="cellIs" dxfId="235" priority="9" operator="equal">
      <formula>"Delay"</formula>
    </cfRule>
    <cfRule type="cellIs" dxfId="234" priority="10" operator="equal">
      <formula>"Fin Close"</formula>
    </cfRule>
    <cfRule type="cellIs" dxfId="233" priority="11" stopIfTrue="1" operator="equal">
      <formula>"Construction"</formula>
    </cfRule>
    <cfRule type="cellIs" dxfId="23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30" width="13.21875" style="47" bestFit="1" customWidth="1"/>
    <col min="31" max="31" width="12.109375" style="47" bestFit="1" customWidth="1"/>
    <col min="32" max="56" width="13.21875" style="47" bestFit="1" customWidth="1"/>
    <col min="57" max="69" width="14.4414062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Income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150</v>
      </c>
    </row>
    <row r="9" spans="1:69" outlineLevel="1">
      <c r="A9" s="18"/>
      <c r="B9" s="18"/>
      <c r="C9" s="28"/>
      <c r="D9" s="27"/>
      <c r="E9" s="4" t="str">
        <f xml:space="preserve">  InpC!E$23</f>
        <v>Invoice Term</v>
      </c>
      <c r="F9" s="4">
        <f xml:space="preserve">  InpC!F$23</f>
        <v>12</v>
      </c>
      <c r="G9" s="4" t="str">
        <f xml:space="preserve">  InpC!G$23</f>
        <v>Months</v>
      </c>
      <c r="M9" s="2"/>
    </row>
    <row r="10" spans="1:69" outlineLevel="1">
      <c r="A10" s="18"/>
      <c r="B10" s="18"/>
      <c r="C10" s="28"/>
      <c r="D10" s="27"/>
      <c r="E10" s="4" t="str">
        <f xml:space="preserve">  InpC!E$21</f>
        <v>Sales Price Unit</v>
      </c>
      <c r="F10" s="4">
        <f xml:space="preserve">  InpC!F$21</f>
        <v>35</v>
      </c>
      <c r="G10" s="4" t="str">
        <f xml:space="preserve">  InpC!G$21</f>
        <v>GBP</v>
      </c>
      <c r="M10" s="2"/>
    </row>
    <row r="11" spans="1:69" outlineLevel="1">
      <c r="A11" s="18"/>
      <c r="B11" s="18"/>
      <c r="C11" s="28"/>
      <c r="D11" s="27"/>
      <c r="E11" s="4" t="str">
        <f xml:space="preserve">  Customers!E$29</f>
        <v>Customer orders fullfilled</v>
      </c>
      <c r="F11" s="4">
        <f xml:space="preserve">  Customers!F$29</f>
        <v>0</v>
      </c>
      <c r="G11" s="4" t="str">
        <f xml:space="preserve">  Customers!G$29</f>
        <v>Units</v>
      </c>
      <c r="H11" s="4">
        <f ca="1" xml:space="preserve">  Customers!H$29</f>
        <v>1070000</v>
      </c>
      <c r="I11" s="4">
        <f xml:space="preserve">  Customers!I$29</f>
        <v>0</v>
      </c>
      <c r="J11" s="4">
        <f xml:space="preserve">  Customers!J$29</f>
        <v>0</v>
      </c>
      <c r="K11" s="4">
        <f ca="1" xml:space="preserve">  Customers!K$29</f>
        <v>0</v>
      </c>
      <c r="L11" s="4">
        <f ca="1" xml:space="preserve">  Customers!L$29</f>
        <v>2000</v>
      </c>
      <c r="M11" s="4">
        <f ca="1" xml:space="preserve">  Customers!M$29</f>
        <v>1000</v>
      </c>
      <c r="N11" s="4">
        <f ca="1" xml:space="preserve">  Customers!N$29</f>
        <v>1000</v>
      </c>
      <c r="O11" s="4">
        <f ca="1" xml:space="preserve">  Customers!O$29</f>
        <v>1000</v>
      </c>
      <c r="P11" s="4">
        <f ca="1" xml:space="preserve">  Customers!P$29</f>
        <v>5000</v>
      </c>
      <c r="Q11" s="4">
        <f ca="1" xml:space="preserve">  Customers!Q$29</f>
        <v>3000</v>
      </c>
      <c r="R11" s="4">
        <f ca="1" xml:space="preserve">  Customers!R$29</f>
        <v>2000</v>
      </c>
      <c r="S11" s="4">
        <f ca="1" xml:space="preserve">  Customers!S$29</f>
        <v>0</v>
      </c>
      <c r="T11" s="4">
        <f ca="1" xml:space="preserve">  Customers!T$29</f>
        <v>10000</v>
      </c>
      <c r="U11" s="4">
        <f ca="1" xml:space="preserve">  Customers!U$29</f>
        <v>0</v>
      </c>
      <c r="V11" s="4">
        <f ca="1" xml:space="preserve">  Customers!V$29</f>
        <v>10000</v>
      </c>
      <c r="W11" s="4">
        <f ca="1" xml:space="preserve">  Customers!W$29</f>
        <v>8297.3154717964753</v>
      </c>
      <c r="X11" s="4">
        <f ca="1" xml:space="preserve">  Customers!X$29</f>
        <v>1702.6845282035247</v>
      </c>
      <c r="Y11" s="4">
        <f ca="1" xml:space="preserve">  Customers!Y$29</f>
        <v>9855.6612883569433</v>
      </c>
      <c r="Z11" s="4">
        <f ca="1" xml:space="preserve">  Customers!Z$29</f>
        <v>144.33871164305674</v>
      </c>
      <c r="AA11" s="4">
        <f ca="1" xml:space="preserve">  Customers!AA$29</f>
        <v>0</v>
      </c>
      <c r="AB11" s="4">
        <f ca="1" xml:space="preserve">  Customers!AB$29</f>
        <v>0</v>
      </c>
      <c r="AC11" s="4">
        <f ca="1" xml:space="preserve">  Customers!AC$29</f>
        <v>0</v>
      </c>
      <c r="AD11" s="4">
        <f ca="1" xml:space="preserve">  Customers!AD$29</f>
        <v>0</v>
      </c>
      <c r="AE11" s="4">
        <f ca="1" xml:space="preserve">  Customers!AE$29</f>
        <v>5000</v>
      </c>
      <c r="AF11" s="4">
        <f ca="1" xml:space="preserve">  Customers!AF$29</f>
        <v>5000</v>
      </c>
      <c r="AG11" s="4">
        <f ca="1" xml:space="preserve">  Customers!AG$29</f>
        <v>5000</v>
      </c>
      <c r="AH11" s="4">
        <f ca="1" xml:space="preserve">  Customers!AH$29</f>
        <v>10000</v>
      </c>
      <c r="AI11" s="4">
        <f ca="1" xml:space="preserve">  Customers!AI$29</f>
        <v>5000</v>
      </c>
      <c r="AJ11" s="4">
        <f ca="1" xml:space="preserve">  Customers!AJ$29</f>
        <v>10000</v>
      </c>
      <c r="AK11" s="4">
        <f ca="1" xml:space="preserve">  Customers!AK$29</f>
        <v>5000</v>
      </c>
      <c r="AL11" s="4">
        <f ca="1" xml:space="preserve">  Customers!AL$29</f>
        <v>10000</v>
      </c>
      <c r="AM11" s="4">
        <f ca="1" xml:space="preserve">  Customers!AM$29</f>
        <v>10000</v>
      </c>
      <c r="AN11" s="4">
        <f ca="1" xml:space="preserve">  Customers!AN$29</f>
        <v>10000</v>
      </c>
      <c r="AO11" s="4">
        <f ca="1" xml:space="preserve">  Customers!AO$29</f>
        <v>10000</v>
      </c>
      <c r="AP11" s="4">
        <f ca="1" xml:space="preserve">  Customers!AP$29</f>
        <v>15000</v>
      </c>
      <c r="AQ11" s="4">
        <f ca="1" xml:space="preserve">  Customers!AQ$29</f>
        <v>10000</v>
      </c>
      <c r="AR11" s="4">
        <f ca="1" xml:space="preserve">  Customers!AR$29</f>
        <v>15000</v>
      </c>
      <c r="AS11" s="4">
        <f ca="1" xml:space="preserve">  Customers!AS$29</f>
        <v>15000</v>
      </c>
      <c r="AT11" s="4">
        <f ca="1" xml:space="preserve">  Customers!AT$29</f>
        <v>20000</v>
      </c>
      <c r="AU11" s="4">
        <f ca="1" xml:space="preserve">  Customers!AU$29</f>
        <v>15000</v>
      </c>
      <c r="AV11" s="4">
        <f ca="1" xml:space="preserve">  Customers!AV$29</f>
        <v>20000</v>
      </c>
      <c r="AW11" s="4">
        <f ca="1" xml:space="preserve">  Customers!AW$29</f>
        <v>25000</v>
      </c>
      <c r="AX11" s="4">
        <f ca="1" xml:space="preserve">  Customers!AX$29</f>
        <v>20000</v>
      </c>
      <c r="AY11" s="4">
        <f ca="1" xml:space="preserve">  Customers!AY$29</f>
        <v>25000</v>
      </c>
      <c r="AZ11" s="4">
        <f ca="1" xml:space="preserve">  Customers!AZ$29</f>
        <v>25000</v>
      </c>
      <c r="BA11" s="4">
        <f ca="1" xml:space="preserve">  Customers!BA$29</f>
        <v>25000</v>
      </c>
      <c r="BB11" s="4">
        <f ca="1" xml:space="preserve">  Customers!BB$29</f>
        <v>25000</v>
      </c>
      <c r="BC11" s="4">
        <f ca="1" xml:space="preserve">  Customers!BC$29</f>
        <v>30000</v>
      </c>
      <c r="BD11" s="4">
        <f ca="1" xml:space="preserve">  Customers!BD$29</f>
        <v>30000.000000000004</v>
      </c>
      <c r="BE11" s="4">
        <f ca="1" xml:space="preserve">  Customers!BE$29</f>
        <v>35000</v>
      </c>
      <c r="BF11" s="4">
        <f ca="1" xml:space="preserve">  Customers!BF$29</f>
        <v>35000</v>
      </c>
      <c r="BG11" s="4">
        <f ca="1" xml:space="preserve">  Customers!BG$29</f>
        <v>35000</v>
      </c>
      <c r="BH11" s="4">
        <f ca="1" xml:space="preserve">  Customers!BH$29</f>
        <v>40000</v>
      </c>
      <c r="BI11" s="4">
        <f ca="1" xml:space="preserve">  Customers!BI$29</f>
        <v>40000</v>
      </c>
      <c r="BJ11" s="4">
        <f ca="1" xml:space="preserve">  Customers!BJ$29</f>
        <v>45000</v>
      </c>
      <c r="BK11" s="4">
        <f ca="1" xml:space="preserve">  Customers!BK$29</f>
        <v>45000</v>
      </c>
      <c r="BL11" s="4">
        <f ca="1" xml:space="preserve">  Customers!BL$29</f>
        <v>49999.999999999993</v>
      </c>
      <c r="BM11" s="4">
        <f ca="1" xml:space="preserve">  Customers!BM$29</f>
        <v>50000.000000000007</v>
      </c>
      <c r="BN11" s="4">
        <f ca="1" xml:space="preserve">  Customers!BN$29</f>
        <v>54999.999999999985</v>
      </c>
      <c r="BO11" s="4">
        <f ca="1" xml:space="preserve">  Customers!BO$29</f>
        <v>60000</v>
      </c>
      <c r="BP11" s="4">
        <f ca="1" xml:space="preserve">  Customers!BP$29</f>
        <v>60000</v>
      </c>
      <c r="BQ11" s="4">
        <f ca="1" xml:space="preserve">  Customers!BQ$29</f>
        <v>65000</v>
      </c>
    </row>
    <row r="12" spans="1:69" outlineLevel="1">
      <c r="A12" s="34"/>
      <c r="B12" s="34"/>
      <c r="C12" s="64"/>
      <c r="D12" s="65"/>
      <c r="E12" s="21" t="s">
        <v>150</v>
      </c>
      <c r="F12" s="21"/>
      <c r="G12" s="21" t="s">
        <v>257</v>
      </c>
      <c r="H12" s="3">
        <f ca="1" xml:space="preserve"> SUM( J12:BQ12 )</f>
        <v>655200000</v>
      </c>
      <c r="I12" s="21"/>
      <c r="J12" s="3">
        <f ca="1" xml:space="preserve">  ( J11 * $F9 * $F10 ) + ( IF( Time!J28 &lt; 1 + $F9, 0, OFFSET( J11, 0, - 1 * ( $F9 ) ) ) * $F9 * $F10 )</f>
        <v>0</v>
      </c>
      <c r="K12" s="3">
        <f ca="1" xml:space="preserve">  ( K11 * $F9 * $F10 ) + ( IF( Time!K28 &lt; 1 + $F9, 0, OFFSET( K11, 0, - 1 * ( $F9 ) ) ) * $F9 * $F10 )</f>
        <v>0</v>
      </c>
      <c r="L12" s="3">
        <f ca="1" xml:space="preserve">  ( L11 * $F9 * $F10 ) + ( IF( Time!L28 &lt; 1 + $F9, 0, OFFSET( L11, 0, - 1 * ( $F9 ) ) ) * $F9 * $F10 )</f>
        <v>840000</v>
      </c>
      <c r="M12" s="3">
        <f ca="1" xml:space="preserve">  ( M11 * $F9 * $F10 ) + ( IF( Time!M28 &lt; 1 + $F9, 0, OFFSET( M11, 0, - 1 * ( $F9 ) ) ) * $F9 * $F10 )</f>
        <v>420000</v>
      </c>
      <c r="N12" s="3">
        <f ca="1" xml:space="preserve">  ( N11 * $F9 * $F10 ) + ( IF( Time!N28 &lt; 1 + $F9, 0, OFFSET( N11, 0, - 1 * ( $F9 ) ) ) * $F9 * $F10 )</f>
        <v>420000</v>
      </c>
      <c r="O12" s="3">
        <f ca="1" xml:space="preserve">  ( O11 * $F9 * $F10 ) + ( IF( Time!O28 &lt; 1 + $F9, 0, OFFSET( O11, 0, - 1 * ( $F9 ) ) ) * $F9 * $F10 )</f>
        <v>420000</v>
      </c>
      <c r="P12" s="3">
        <f ca="1" xml:space="preserve">  ( P11 * $F9 * $F10 ) + ( IF( Time!P28 &lt; 1 + $F9, 0, OFFSET( P11, 0, - 1 * ( $F9 ) ) ) * $F9 * $F10 )</f>
        <v>2100000</v>
      </c>
      <c r="Q12" s="3">
        <f ca="1" xml:space="preserve">  ( Q11 * $F9 * $F10 ) + ( IF( Time!Q28 &lt; 1 + $F9, 0, OFFSET( Q11, 0, - 1 * ( $F9 ) ) ) * $F9 * $F10 )</f>
        <v>1260000</v>
      </c>
      <c r="R12" s="3">
        <f ca="1" xml:space="preserve">  ( R11 * $F9 * $F10 ) + ( IF( Time!R28 &lt; 1 + $F9, 0, OFFSET( R11, 0, - 1 * ( $F9 ) ) ) * $F9 * $F10 )</f>
        <v>840000</v>
      </c>
      <c r="S12" s="3">
        <f ca="1" xml:space="preserve">  ( S11 * $F9 * $F10 ) + ( IF( Time!S28 &lt; 1 + $F9, 0, OFFSET( S11, 0, - 1 * ( $F9 ) ) ) * $F9 * $F10 )</f>
        <v>0</v>
      </c>
      <c r="T12" s="3">
        <f ca="1" xml:space="preserve">  ( T11 * $F9 * $F10 ) + ( IF( Time!T28 &lt; 1 + $F9, 0, OFFSET( T11, 0, - 1 * ( $F9 ) ) ) * $F9 * $F10 )</f>
        <v>4200000</v>
      </c>
      <c r="U12" s="3">
        <f ca="1" xml:space="preserve">  ( U11 * $F9 * $F10 ) + ( IF( Time!U28 &lt; 1 + $F9, 0, OFFSET( U11, 0, - 1 * ( $F9 ) ) ) * $F9 * $F10 )</f>
        <v>0</v>
      </c>
      <c r="V12" s="3">
        <f ca="1" xml:space="preserve">  ( V11 * $F9 * $F10 ) + ( IF( Time!V28 &lt; 1 + $F9, 0, OFFSET( V11, 0, - 1 * ( $F9 ) ) ) * $F9 * $F10 )</f>
        <v>4200000</v>
      </c>
      <c r="W12" s="3">
        <f ca="1" xml:space="preserve">  ( W11 * $F9 * $F10 ) + ( IF( Time!W28 &lt; 1 + $F9, 0, OFFSET( W11, 0, - 1 * ( $F9 ) ) ) * $F9 * $F10 )</f>
        <v>3484872.4981545196</v>
      </c>
      <c r="X12" s="3">
        <f ca="1" xml:space="preserve">  ( X11 * $F9 * $F10 ) + ( IF( Time!X28 &lt; 1 + $F9, 0, OFFSET( X11, 0, - 1 * ( $F9 ) ) ) * $F9 * $F10 )</f>
        <v>1555127.5018454804</v>
      </c>
      <c r="Y12" s="3">
        <f ca="1" xml:space="preserve">  ( Y11 * $F9 * $F10 ) + ( IF( Time!Y28 &lt; 1 + $F9, 0, OFFSET( Y11, 0, - 1 * ( $F9 ) ) ) * $F9 * $F10 )</f>
        <v>4559377.741109916</v>
      </c>
      <c r="Z12" s="3">
        <f ca="1" xml:space="preserve">  ( Z11 * $F9 * $F10 ) + ( IF( Time!Z28 &lt; 1 + $F9, 0, OFFSET( Z11, 0, - 1 * ( $F9 ) ) ) * $F9 * $F10 )</f>
        <v>480622.25889008382</v>
      </c>
      <c r="AA12" s="3">
        <f ca="1" xml:space="preserve">  ( AA11 * $F9 * $F10 ) + ( IF( Time!AA28 &lt; 1 + $F9, 0, OFFSET( AA11, 0, - 1 * ( $F9 ) ) ) * $F9 * $F10 )</f>
        <v>420000</v>
      </c>
      <c r="AB12" s="3">
        <f ca="1" xml:space="preserve">  ( AB11 * $F9 * $F10 ) + ( IF( Time!AB28 &lt; 1 + $F9, 0, OFFSET( AB11, 0, - 1 * ( $F9 ) ) ) * $F9 * $F10 )</f>
        <v>2100000</v>
      </c>
      <c r="AC12" s="3">
        <f ca="1" xml:space="preserve">  ( AC11 * $F9 * $F10 ) + ( IF( Time!AC28 &lt; 1 + $F9, 0, OFFSET( AC11, 0, - 1 * ( $F9 ) ) ) * $F9 * $F10 )</f>
        <v>1260000</v>
      </c>
      <c r="AD12" s="3">
        <f ca="1" xml:space="preserve">  ( AD11 * $F9 * $F10 ) + ( IF( Time!AD28 &lt; 1 + $F9, 0, OFFSET( AD11, 0, - 1 * ( $F9 ) ) ) * $F9 * $F10 )</f>
        <v>840000</v>
      </c>
      <c r="AE12" s="3">
        <f ca="1" xml:space="preserve">  ( AE11 * $F9 * $F10 ) + ( IF( Time!AE28 &lt; 1 + $F9, 0, OFFSET( AE11, 0, - 1 * ( $F9 ) ) ) * $F9 * $F10 )</f>
        <v>2100000</v>
      </c>
      <c r="AF12" s="3">
        <f ca="1" xml:space="preserve">  ( AF11 * $F9 * $F10 ) + ( IF( Time!AF28 &lt; 1 + $F9, 0, OFFSET( AF11, 0, - 1 * ( $F9 ) ) ) * $F9 * $F10 )</f>
        <v>6300000</v>
      </c>
      <c r="AG12" s="3">
        <f ca="1" xml:space="preserve">  ( AG11 * $F9 * $F10 ) + ( IF( Time!AG28 &lt; 1 + $F9, 0, OFFSET( AG11, 0, - 1 * ( $F9 ) ) ) * $F9 * $F10 )</f>
        <v>2100000</v>
      </c>
      <c r="AH12" s="3">
        <f ca="1" xml:space="preserve">  ( AH11 * $F9 * $F10 ) + ( IF( Time!AH28 &lt; 1 + $F9, 0, OFFSET( AH11, 0, - 1 * ( $F9 ) ) ) * $F9 * $F10 )</f>
        <v>8400000</v>
      </c>
      <c r="AI12" s="3">
        <f ca="1" xml:space="preserve">  ( AI11 * $F9 * $F10 ) + ( IF( Time!AI28 &lt; 1 + $F9, 0, OFFSET( AI11, 0, - 1 * ( $F9 ) ) ) * $F9 * $F10 )</f>
        <v>5584872.4981545191</v>
      </c>
      <c r="AJ12" s="3">
        <f ca="1" xml:space="preserve">  ( AJ11 * $F9 * $F10 ) + ( IF( Time!AJ28 &lt; 1 + $F9, 0, OFFSET( AJ11, 0, - 1 * ( $F9 ) ) ) * $F9 * $F10 )</f>
        <v>4915127.5018454809</v>
      </c>
      <c r="AK12" s="3">
        <f ca="1" xml:space="preserve">  ( AK11 * $F9 * $F10 ) + ( IF( Time!AK28 &lt; 1 + $F9, 0, OFFSET( AK11, 0, - 1 * ( $F9 ) ) ) * $F9 * $F10 )</f>
        <v>6239377.741109916</v>
      </c>
      <c r="AL12" s="3">
        <f ca="1" xml:space="preserve">  ( AL11 * $F9 * $F10 ) + ( IF( Time!AL28 &lt; 1 + $F9, 0, OFFSET( AL11, 0, - 1 * ( $F9 ) ) ) * $F9 * $F10 )</f>
        <v>4260622.258890084</v>
      </c>
      <c r="AM12" s="3">
        <f ca="1" xml:space="preserve">  ( AM11 * $F9 * $F10 ) + ( IF( Time!AM28 &lt; 1 + $F9, 0, OFFSET( AM11, 0, - 1 * ( $F9 ) ) ) * $F9 * $F10 )</f>
        <v>4200000</v>
      </c>
      <c r="AN12" s="3">
        <f ca="1" xml:space="preserve">  ( AN11 * $F9 * $F10 ) + ( IF( Time!AN28 &lt; 1 + $F9, 0, OFFSET( AN11, 0, - 1 * ( $F9 ) ) ) * $F9 * $F10 )</f>
        <v>4200000</v>
      </c>
      <c r="AO12" s="3">
        <f ca="1" xml:space="preserve">  ( AO11 * $F9 * $F10 ) + ( IF( Time!AO28 &lt; 1 + $F9, 0, OFFSET( AO11, 0, - 1 * ( $F9 ) ) ) * $F9 * $F10 )</f>
        <v>4200000</v>
      </c>
      <c r="AP12" s="3">
        <f ca="1" xml:space="preserve">  ( AP11 * $F9 * $F10 ) + ( IF( Time!AP28 &lt; 1 + $F9, 0, OFFSET( AP11, 0, - 1 * ( $F9 ) ) ) * $F9 * $F10 )</f>
        <v>6300000</v>
      </c>
      <c r="AQ12" s="3">
        <f ca="1" xml:space="preserve">  ( AQ11 * $F9 * $F10 ) + ( IF( Time!AQ28 &lt; 1 + $F9, 0, OFFSET( AQ11, 0, - 1 * ( $F9 ) ) ) * $F9 * $F10 )</f>
        <v>6300000</v>
      </c>
      <c r="AR12" s="3">
        <f ca="1" xml:space="preserve">  ( AR11 * $F9 * $F10 ) + ( IF( Time!AR28 &lt; 1 + $F9, 0, OFFSET( AR11, 0, - 1 * ( $F9 ) ) ) * $F9 * $F10 )</f>
        <v>8400000</v>
      </c>
      <c r="AS12" s="3">
        <f ca="1" xml:space="preserve">  ( AS11 * $F9 * $F10 ) + ( IF( Time!AS28 &lt; 1 + $F9, 0, OFFSET( AS11, 0, - 1 * ( $F9 ) ) ) * $F9 * $F10 )</f>
        <v>8400000</v>
      </c>
      <c r="AT12" s="3">
        <f ca="1" xml:space="preserve">  ( AT11 * $F9 * $F10 ) + ( IF( Time!AT28 &lt; 1 + $F9, 0, OFFSET( AT11, 0, - 1 * ( $F9 ) ) ) * $F9 * $F10 )</f>
        <v>12600000</v>
      </c>
      <c r="AU12" s="3">
        <f ca="1" xml:space="preserve">  ( AU11 * $F9 * $F10 ) + ( IF( Time!AU28 &lt; 1 + $F9, 0, OFFSET( AU11, 0, - 1 * ( $F9 ) ) ) * $F9 * $F10 )</f>
        <v>8400000</v>
      </c>
      <c r="AV12" s="3">
        <f ca="1" xml:space="preserve">  ( AV11 * $F9 * $F10 ) + ( IF( Time!AV28 &lt; 1 + $F9, 0, OFFSET( AV11, 0, - 1 * ( $F9 ) ) ) * $F9 * $F10 )</f>
        <v>12600000</v>
      </c>
      <c r="AW12" s="3">
        <f ca="1" xml:space="preserve">  ( AW11 * $F9 * $F10 ) + ( IF( Time!AW28 &lt; 1 + $F9, 0, OFFSET( AW11, 0, - 1 * ( $F9 ) ) ) * $F9 * $F10 )</f>
        <v>12600000</v>
      </c>
      <c r="AX12" s="3">
        <f ca="1" xml:space="preserve">  ( AX11 * $F9 * $F10 ) + ( IF( Time!AX28 &lt; 1 + $F9, 0, OFFSET( AX11, 0, - 1 * ( $F9 ) ) ) * $F9 * $F10 )</f>
        <v>12600000</v>
      </c>
      <c r="AY12" s="3">
        <f ca="1" xml:space="preserve">  ( AY11 * $F9 * $F10 ) + ( IF( Time!AY28 &lt; 1 + $F9, 0, OFFSET( AY11, 0, - 1 * ( $F9 ) ) ) * $F9 * $F10 )</f>
        <v>14700000</v>
      </c>
      <c r="AZ12" s="3">
        <f ca="1" xml:space="preserve">  ( AZ11 * $F9 * $F10 ) + ( IF( Time!AZ28 &lt; 1 + $F9, 0, OFFSET( AZ11, 0, - 1 * ( $F9 ) ) ) * $F9 * $F10 )</f>
        <v>14700000</v>
      </c>
      <c r="BA12" s="3">
        <f ca="1" xml:space="preserve">  ( BA11 * $F9 * $F10 ) + ( IF( Time!BA28 &lt; 1 + $F9, 0, OFFSET( BA11, 0, - 1 * ( $F9 ) ) ) * $F9 * $F10 )</f>
        <v>14700000</v>
      </c>
      <c r="BB12" s="3">
        <f ca="1" xml:space="preserve">  ( BB11 * $F9 * $F10 ) + ( IF( Time!BB28 &lt; 1 + $F9, 0, OFFSET( BB11, 0, - 1 * ( $F9 ) ) ) * $F9 * $F10 )</f>
        <v>16800000</v>
      </c>
      <c r="BC12" s="3">
        <f ca="1" xml:space="preserve">  ( BC11 * $F9 * $F10 ) + ( IF( Time!BC28 &lt; 1 + $F9, 0, OFFSET( BC11, 0, - 1 * ( $F9 ) ) ) * $F9 * $F10 )</f>
        <v>16800000</v>
      </c>
      <c r="BD12" s="3">
        <f ca="1" xml:space="preserve">  ( BD11 * $F9 * $F10 ) + ( IF( Time!BD28 &lt; 1 + $F9, 0, OFFSET( BD11, 0, - 1 * ( $F9 ) ) ) * $F9 * $F10 )</f>
        <v>18900000</v>
      </c>
      <c r="BE12" s="3">
        <f ca="1" xml:space="preserve">  ( BE11 * $F9 * $F10 ) + ( IF( Time!BE28 &lt; 1 + $F9, 0, OFFSET( BE11, 0, - 1 * ( $F9 ) ) ) * $F9 * $F10 )</f>
        <v>21000000</v>
      </c>
      <c r="BF12" s="3">
        <f ca="1" xml:space="preserve">  ( BF11 * $F9 * $F10 ) + ( IF( Time!BF28 &lt; 1 + $F9, 0, OFFSET( BF11, 0, - 1 * ( $F9 ) ) ) * $F9 * $F10 )</f>
        <v>23100000</v>
      </c>
      <c r="BG12" s="3">
        <f ca="1" xml:space="preserve">  ( BG11 * $F9 * $F10 ) + ( IF( Time!BG28 &lt; 1 + $F9, 0, OFFSET( BG11, 0, - 1 * ( $F9 ) ) ) * $F9 * $F10 )</f>
        <v>21000000</v>
      </c>
      <c r="BH12" s="3">
        <f ca="1" xml:space="preserve">  ( BH11 * $F9 * $F10 ) + ( IF( Time!BH28 &lt; 1 + $F9, 0, OFFSET( BH11, 0, - 1 * ( $F9 ) ) ) * $F9 * $F10 )</f>
        <v>25200000</v>
      </c>
      <c r="BI12" s="3">
        <f ca="1" xml:space="preserve">  ( BI11 * $F9 * $F10 ) + ( IF( Time!BI28 &lt; 1 + $F9, 0, OFFSET( BI11, 0, - 1 * ( $F9 ) ) ) * $F9 * $F10 )</f>
        <v>27300000</v>
      </c>
      <c r="BJ12" s="3">
        <f ca="1" xml:space="preserve">  ( BJ11 * $F9 * $F10 ) + ( IF( Time!BJ28 &lt; 1 + $F9, 0, OFFSET( BJ11, 0, - 1 * ( $F9 ) ) ) * $F9 * $F10 )</f>
        <v>27300000</v>
      </c>
      <c r="BK12" s="3">
        <f ca="1" xml:space="preserve">  ( BK11 * $F9 * $F10 ) + ( IF( Time!BK28 &lt; 1 + $F9, 0, OFFSET( BK11, 0, - 1 * ( $F9 ) ) ) * $F9 * $F10 )</f>
        <v>29400000</v>
      </c>
      <c r="BL12" s="3">
        <f ca="1" xml:space="preserve">  ( BL11 * $F9 * $F10 ) + ( IF( Time!BL28 &lt; 1 + $F9, 0, OFFSET( BL11, 0, - 1 * ( $F9 ) ) ) * $F9 * $F10 )</f>
        <v>31499999.999999996</v>
      </c>
      <c r="BM12" s="3">
        <f ca="1" xml:space="preserve">  ( BM11 * $F9 * $F10 ) + ( IF( Time!BM28 &lt; 1 + $F9, 0, OFFSET( BM11, 0, - 1 * ( $F9 ) ) ) * $F9 * $F10 )</f>
        <v>31500000.000000004</v>
      </c>
      <c r="BN12" s="3">
        <f ca="1" xml:space="preserve">  ( BN11 * $F9 * $F10 ) + ( IF( Time!BN28 &lt; 1 + $F9, 0, OFFSET( BN11, 0, - 1 * ( $F9 ) ) ) * $F9 * $F10 )</f>
        <v>33599999.999999993</v>
      </c>
      <c r="BO12" s="3">
        <f ca="1" xml:space="preserve">  ( BO11 * $F9 * $F10 ) + ( IF( Time!BO28 &lt; 1 + $F9, 0, OFFSET( BO11, 0, - 1 * ( $F9 ) ) ) * $F9 * $F10 )</f>
        <v>37800000</v>
      </c>
      <c r="BP12" s="3">
        <f ca="1" xml:space="preserve">  ( BP11 * $F9 * $F10 ) + ( IF( Time!BP28 &lt; 1 + $F9, 0, OFFSET( BP11, 0, - 1 * ( $F9 ) ) ) * $F9 * $F10 )</f>
        <v>37800000</v>
      </c>
      <c r="BQ12" s="3">
        <f ca="1" xml:space="preserve">  ( BQ11 * $F9 * $F10 ) + ( IF( Time!BQ28 &lt; 1 + $F9, 0, OFFSET( BQ11, 0, - 1 * ( $F9 ) ) ) * $F9 * $F10 )</f>
        <v>42000000</v>
      </c>
    </row>
    <row r="15" spans="1:69">
      <c r="B15" s="25" t="s">
        <v>174</v>
      </c>
    </row>
    <row r="16" spans="1:69" outlineLevel="1">
      <c r="A16" s="18"/>
      <c r="B16" s="18"/>
      <c r="C16" s="28"/>
      <c r="D16" s="27"/>
      <c r="E16" s="4" t="str">
        <f xml:space="preserve">  InpC!E$21</f>
        <v>Sales Price Unit</v>
      </c>
      <c r="F16" s="4">
        <f xml:space="preserve">  InpC!F$21</f>
        <v>35</v>
      </c>
      <c r="G16" s="4" t="str">
        <f xml:space="preserve">  InpC!G$21</f>
        <v>GBP</v>
      </c>
      <c r="M16" s="2"/>
    </row>
    <row r="17" spans="1:69" outlineLevel="1">
      <c r="A17" s="18"/>
      <c r="B17" s="18"/>
      <c r="C17" s="28"/>
      <c r="D17" s="27"/>
      <c r="E17" s="4" t="str">
        <f xml:space="preserve">  Inventory!E$73</f>
        <v>Units in use</v>
      </c>
      <c r="F17" s="4">
        <f xml:space="preserve">  Inventory!F$73</f>
        <v>0</v>
      </c>
      <c r="G17" s="4" t="str">
        <f xml:space="preserve">  Inventory!G$73</f>
        <v>Units</v>
      </c>
      <c r="H17" s="4">
        <f xml:space="preserve">  Inventory!H$73</f>
        <v>0</v>
      </c>
      <c r="I17" s="4">
        <f xml:space="preserve">  Inventory!I$73</f>
        <v>0</v>
      </c>
      <c r="J17" s="4">
        <f ca="1" xml:space="preserve">  Inventory!J$73</f>
        <v>0</v>
      </c>
      <c r="K17" s="4">
        <f ca="1" xml:space="preserve">  Inventory!K$73</f>
        <v>0</v>
      </c>
      <c r="L17" s="4">
        <f ca="1" xml:space="preserve">  Inventory!L$73</f>
        <v>2000</v>
      </c>
      <c r="M17" s="4">
        <f ca="1" xml:space="preserve">  Inventory!M$73</f>
        <v>3000</v>
      </c>
      <c r="N17" s="4">
        <f ca="1" xml:space="preserve">  Inventory!N$73</f>
        <v>4000</v>
      </c>
      <c r="O17" s="4">
        <f ca="1" xml:space="preserve">  Inventory!O$73</f>
        <v>5000</v>
      </c>
      <c r="P17" s="4">
        <f ca="1" xml:space="preserve">  Inventory!P$73</f>
        <v>10000</v>
      </c>
      <c r="Q17" s="4">
        <f ca="1" xml:space="preserve">  Inventory!Q$73</f>
        <v>13000</v>
      </c>
      <c r="R17" s="4">
        <f ca="1" xml:space="preserve">  Inventory!R$73</f>
        <v>15000</v>
      </c>
      <c r="S17" s="4">
        <f ca="1" xml:space="preserve">  Inventory!S$73</f>
        <v>15000</v>
      </c>
      <c r="T17" s="4">
        <f ca="1" xml:space="preserve">  Inventory!T$73</f>
        <v>25000</v>
      </c>
      <c r="U17" s="4">
        <f ca="1" xml:space="preserve">  Inventory!U$73</f>
        <v>25000</v>
      </c>
      <c r="V17" s="4">
        <f ca="1" xml:space="preserve">  Inventory!V$73</f>
        <v>35000</v>
      </c>
      <c r="W17" s="4">
        <f ca="1" xml:space="preserve">  Inventory!W$73</f>
        <v>43297.315471796479</v>
      </c>
      <c r="X17" s="4">
        <f ca="1" xml:space="preserve">  Inventory!X$73</f>
        <v>45000</v>
      </c>
      <c r="Y17" s="4">
        <f ca="1" xml:space="preserve">  Inventory!Y$73</f>
        <v>54855.661288356947</v>
      </c>
      <c r="Z17" s="4">
        <f ca="1" xml:space="preserve">  Inventory!Z$73</f>
        <v>55000</v>
      </c>
      <c r="AA17" s="4">
        <f ca="1" xml:space="preserve">  Inventory!AA$73</f>
        <v>55000</v>
      </c>
      <c r="AB17" s="4">
        <f ca="1" xml:space="preserve">  Inventory!AB$73</f>
        <v>55000</v>
      </c>
      <c r="AC17" s="4">
        <f ca="1" xml:space="preserve">  Inventory!AC$73</f>
        <v>55000</v>
      </c>
      <c r="AD17" s="4">
        <f ca="1" xml:space="preserve">  Inventory!AD$73</f>
        <v>55000</v>
      </c>
      <c r="AE17" s="4">
        <f ca="1" xml:space="preserve">  Inventory!AE$73</f>
        <v>60000</v>
      </c>
      <c r="AF17" s="4">
        <f ca="1" xml:space="preserve">  Inventory!AF$73</f>
        <v>65000</v>
      </c>
      <c r="AG17" s="4">
        <f ca="1" xml:space="preserve">  Inventory!AG$73</f>
        <v>70000</v>
      </c>
      <c r="AH17" s="4">
        <f ca="1" xml:space="preserve">  Inventory!AH$73</f>
        <v>79000</v>
      </c>
      <c r="AI17" s="4">
        <f ca="1" xml:space="preserve">  Inventory!AI$73</f>
        <v>83000</v>
      </c>
      <c r="AJ17" s="4">
        <f ca="1" xml:space="preserve">  Inventory!AJ$73</f>
        <v>92000</v>
      </c>
      <c r="AK17" s="4">
        <f ca="1" xml:space="preserve">  Inventory!AK$73</f>
        <v>96000</v>
      </c>
      <c r="AL17" s="4">
        <f ca="1" xml:space="preserve">  Inventory!AL$73</f>
        <v>103000</v>
      </c>
      <c r="AM17" s="4">
        <f ca="1" xml:space="preserve">  Inventory!AM$73</f>
        <v>110000</v>
      </c>
      <c r="AN17" s="4">
        <f ca="1" xml:space="preserve">  Inventory!AN$73</f>
        <v>117000</v>
      </c>
      <c r="AO17" s="4">
        <f ca="1" xml:space="preserve">  Inventory!AO$73</f>
        <v>122000</v>
      </c>
      <c r="AP17" s="4">
        <f ca="1" xml:space="preserve">  Inventory!AP$73</f>
        <v>132000</v>
      </c>
      <c r="AQ17" s="4">
        <f ca="1" xml:space="preserve">  Inventory!AQ$73</f>
        <v>137000</v>
      </c>
      <c r="AR17" s="4">
        <f ca="1" xml:space="preserve">  Inventory!AR$73</f>
        <v>147000</v>
      </c>
      <c r="AS17" s="4">
        <f ca="1" xml:space="preserve">  Inventory!AS$73</f>
        <v>157000</v>
      </c>
      <c r="AT17" s="4">
        <f ca="1" xml:space="preserve">  Inventory!AT$73</f>
        <v>171702.68452820354</v>
      </c>
      <c r="AU17" s="4">
        <f ca="1" xml:space="preserve">  Inventory!AU$73</f>
        <v>181090.37428665668</v>
      </c>
      <c r="AV17" s="4">
        <f ca="1" xml:space="preserve">  Inventory!AV$73</f>
        <v>195144.33871164307</v>
      </c>
      <c r="AW17" s="4">
        <f ca="1" xml:space="preserve">  Inventory!AW$73</f>
        <v>213844.73346216869</v>
      </c>
      <c r="AX17" s="4">
        <f ca="1" xml:space="preserve">  Inventory!AX$73</f>
        <v>227170.53419131853</v>
      </c>
      <c r="AY17" s="4">
        <f ca="1" xml:space="preserve">  Inventory!AY$73</f>
        <v>245099.46637945305</v>
      </c>
      <c r="AZ17" s="4">
        <f ca="1" xml:space="preserve">  Inventory!AZ$73</f>
        <v>262607.93099506968</v>
      </c>
      <c r="BA17" s="4">
        <f ca="1" xml:space="preserve">  Inventory!BA$73</f>
        <v>279670.92573522869</v>
      </c>
      <c r="BB17" s="4">
        <f ca="1" xml:space="preserve">  Inventory!BB$73</f>
        <v>296261.96158269153</v>
      </c>
      <c r="BC17" s="4">
        <f ca="1" xml:space="preserve">  Inventory!BC$73</f>
        <v>317352.97440128814</v>
      </c>
      <c r="BD17" s="4">
        <f ca="1" xml:space="preserve">  Inventory!BD$73</f>
        <v>337914.23127447121</v>
      </c>
      <c r="BE17" s="4">
        <f ca="1" xml:space="preserve">  Inventory!BE$73</f>
        <v>362914.23127447121</v>
      </c>
      <c r="BF17" s="4">
        <f ca="1" xml:space="preserve">  Inventory!BF$73</f>
        <v>386419.60033087828</v>
      </c>
      <c r="BG17" s="4">
        <f ca="1" xml:space="preserve">  Inventory!BG$73</f>
        <v>409294.97984778456</v>
      </c>
      <c r="BH17" s="4">
        <f ca="1" xml:space="preserve">  Inventory!BH$73</f>
        <v>436502.90869775735</v>
      </c>
      <c r="BI17" s="4">
        <f ca="1" xml:space="preserve">  Inventory!BI$73</f>
        <v>463003.69819880859</v>
      </c>
      <c r="BJ17" s="4">
        <f ca="1" xml:space="preserve">  Inventory!BJ$73</f>
        <v>491955.29965710826</v>
      </c>
      <c r="BK17" s="4">
        <f ca="1" xml:space="preserve">  Inventory!BK$73</f>
        <v>520113.16403337731</v>
      </c>
      <c r="BL17" s="4">
        <f ca="1" xml:space="preserve">  Inventory!BL$73</f>
        <v>552430.09326461051</v>
      </c>
      <c r="BM17" s="4">
        <f ca="1" xml:space="preserve">  Inventory!BM$73</f>
        <v>582056.08274492854</v>
      </c>
      <c r="BN17" s="4">
        <f ca="1" xml:space="preserve">  Inventory!BN$73</f>
        <v>615738.1544398542</v>
      </c>
      <c r="BO17" s="4">
        <f ca="1" xml:space="preserve">  Inventory!BO$73</f>
        <v>653420.18007704744</v>
      </c>
      <c r="BP17" s="4">
        <f ca="1" xml:space="preserve">  Inventory!BP$73</f>
        <v>690042.69382341357</v>
      </c>
      <c r="BQ17" s="4">
        <f ca="1" xml:space="preserve">  Inventory!BQ$73</f>
        <v>730542.69382341357</v>
      </c>
    </row>
    <row r="18" spans="1:69" outlineLevel="1">
      <c r="A18" s="34"/>
      <c r="B18" s="34"/>
      <c r="C18" s="64"/>
      <c r="D18" s="65"/>
      <c r="E18" s="21" t="s">
        <v>174</v>
      </c>
      <c r="F18" s="21"/>
      <c r="G18" s="21" t="s">
        <v>257</v>
      </c>
      <c r="H18" s="3">
        <f ca="1" xml:space="preserve"> SUM( J18:BQ18 )</f>
        <v>411685641.93826306</v>
      </c>
      <c r="I18" s="21"/>
      <c r="J18" s="3">
        <f t="shared" ref="J18:BQ18" ca="1" si="0" xml:space="preserve">  $F16 * J17</f>
        <v>0</v>
      </c>
      <c r="K18" s="3">
        <f t="shared" ca="1" si="0"/>
        <v>0</v>
      </c>
      <c r="L18" s="3">
        <f t="shared" ca="1" si="0"/>
        <v>70000</v>
      </c>
      <c r="M18" s="3">
        <f t="shared" ca="1" si="0"/>
        <v>105000</v>
      </c>
      <c r="N18" s="3">
        <f t="shared" ca="1" si="0"/>
        <v>140000</v>
      </c>
      <c r="O18" s="3">
        <f t="shared" ca="1" si="0"/>
        <v>175000</v>
      </c>
      <c r="P18" s="3">
        <f t="shared" ca="1" si="0"/>
        <v>350000</v>
      </c>
      <c r="Q18" s="3">
        <f t="shared" ca="1" si="0"/>
        <v>455000</v>
      </c>
      <c r="R18" s="3">
        <f t="shared" ca="1" si="0"/>
        <v>525000</v>
      </c>
      <c r="S18" s="3">
        <f t="shared" ca="1" si="0"/>
        <v>525000</v>
      </c>
      <c r="T18" s="3">
        <f t="shared" ca="1" si="0"/>
        <v>875000</v>
      </c>
      <c r="U18" s="3">
        <f t="shared" ca="1" si="0"/>
        <v>875000</v>
      </c>
      <c r="V18" s="3">
        <f t="shared" ca="1" si="0"/>
        <v>1225000</v>
      </c>
      <c r="W18" s="3">
        <f t="shared" ca="1" si="0"/>
        <v>1515406.0415128767</v>
      </c>
      <c r="X18" s="3">
        <f t="shared" ca="1" si="0"/>
        <v>1575000</v>
      </c>
      <c r="Y18" s="3">
        <f t="shared" ca="1" si="0"/>
        <v>1919948.1450924932</v>
      </c>
      <c r="Z18" s="3">
        <f t="shared" ca="1" si="0"/>
        <v>1925000</v>
      </c>
      <c r="AA18" s="3">
        <f t="shared" ca="1" si="0"/>
        <v>1925000</v>
      </c>
      <c r="AB18" s="3">
        <f t="shared" ca="1" si="0"/>
        <v>1925000</v>
      </c>
      <c r="AC18" s="3">
        <f t="shared" ca="1" si="0"/>
        <v>1925000</v>
      </c>
      <c r="AD18" s="3">
        <f t="shared" ca="1" si="0"/>
        <v>1925000</v>
      </c>
      <c r="AE18" s="3">
        <f t="shared" ca="1" si="0"/>
        <v>2100000</v>
      </c>
      <c r="AF18" s="3">
        <f t="shared" ca="1" si="0"/>
        <v>2275000</v>
      </c>
      <c r="AG18" s="3">
        <f t="shared" ca="1" si="0"/>
        <v>2450000</v>
      </c>
      <c r="AH18" s="3">
        <f t="shared" ca="1" si="0"/>
        <v>2765000</v>
      </c>
      <c r="AI18" s="3">
        <f t="shared" ca="1" si="0"/>
        <v>2905000</v>
      </c>
      <c r="AJ18" s="3">
        <f t="shared" ca="1" si="0"/>
        <v>3220000</v>
      </c>
      <c r="AK18" s="3">
        <f t="shared" ca="1" si="0"/>
        <v>3360000</v>
      </c>
      <c r="AL18" s="3">
        <f t="shared" ca="1" si="0"/>
        <v>3605000</v>
      </c>
      <c r="AM18" s="3">
        <f t="shared" ca="1" si="0"/>
        <v>3850000</v>
      </c>
      <c r="AN18" s="3">
        <f t="shared" ca="1" si="0"/>
        <v>4095000</v>
      </c>
      <c r="AO18" s="3">
        <f t="shared" ca="1" si="0"/>
        <v>4270000</v>
      </c>
      <c r="AP18" s="3">
        <f t="shared" ca="1" si="0"/>
        <v>4620000</v>
      </c>
      <c r="AQ18" s="3">
        <f t="shared" ca="1" si="0"/>
        <v>4795000</v>
      </c>
      <c r="AR18" s="3">
        <f t="shared" ca="1" si="0"/>
        <v>5145000</v>
      </c>
      <c r="AS18" s="3">
        <f t="shared" ca="1" si="0"/>
        <v>5495000</v>
      </c>
      <c r="AT18" s="3">
        <f t="shared" ca="1" si="0"/>
        <v>6009593.9584871242</v>
      </c>
      <c r="AU18" s="3">
        <f t="shared" ca="1" si="0"/>
        <v>6338163.1000329833</v>
      </c>
      <c r="AV18" s="3">
        <f t="shared" ca="1" si="0"/>
        <v>6830051.8549075071</v>
      </c>
      <c r="AW18" s="3">
        <f t="shared" ca="1" si="0"/>
        <v>7484565.6711759046</v>
      </c>
      <c r="AX18" s="3">
        <f t="shared" ca="1" si="0"/>
        <v>7950968.6966961483</v>
      </c>
      <c r="AY18" s="3">
        <f t="shared" ca="1" si="0"/>
        <v>8578481.323280856</v>
      </c>
      <c r="AZ18" s="3">
        <f t="shared" ca="1" si="0"/>
        <v>9191277.584827438</v>
      </c>
      <c r="BA18" s="3">
        <f t="shared" ca="1" si="0"/>
        <v>9788482.4007330053</v>
      </c>
      <c r="BB18" s="3">
        <f t="shared" ca="1" si="0"/>
        <v>10369168.655394204</v>
      </c>
      <c r="BC18" s="3">
        <f t="shared" ca="1" si="0"/>
        <v>11107354.104045086</v>
      </c>
      <c r="BD18" s="3">
        <f t="shared" ca="1" si="0"/>
        <v>11826998.094606493</v>
      </c>
      <c r="BE18" s="3">
        <f t="shared" ca="1" si="0"/>
        <v>12701998.094606493</v>
      </c>
      <c r="BF18" s="3">
        <f t="shared" ca="1" si="0"/>
        <v>13524686.011580739</v>
      </c>
      <c r="BG18" s="3">
        <f t="shared" ca="1" si="0"/>
        <v>14325324.294672459</v>
      </c>
      <c r="BH18" s="3">
        <f t="shared" ca="1" si="0"/>
        <v>15277601.804421507</v>
      </c>
      <c r="BI18" s="3">
        <f t="shared" ca="1" si="0"/>
        <v>16205129.4369583</v>
      </c>
      <c r="BJ18" s="3">
        <f t="shared" ca="1" si="0"/>
        <v>17218435.487998791</v>
      </c>
      <c r="BK18" s="3">
        <f t="shared" ca="1" si="0"/>
        <v>18203960.741168205</v>
      </c>
      <c r="BL18" s="3">
        <f t="shared" ca="1" si="0"/>
        <v>19335053.264261369</v>
      </c>
      <c r="BM18" s="3">
        <f t="shared" ca="1" si="0"/>
        <v>20371962.896072499</v>
      </c>
      <c r="BN18" s="3">
        <f t="shared" ca="1" si="0"/>
        <v>21550835.405394897</v>
      </c>
      <c r="BO18" s="3">
        <f t="shared" ca="1" si="0"/>
        <v>22869706.30269666</v>
      </c>
      <c r="BP18" s="3">
        <f t="shared" ca="1" si="0"/>
        <v>24151494.283819474</v>
      </c>
      <c r="BQ18" s="3">
        <f t="shared" ca="1" si="0"/>
        <v>25568994.283819474</v>
      </c>
    </row>
    <row r="21" spans="1:69">
      <c r="B21" s="25" t="s">
        <v>346</v>
      </c>
    </row>
    <row r="22" spans="1:69" s="80" customFormat="1">
      <c r="A22" s="60"/>
      <c r="B22" s="60"/>
      <c r="C22" s="82"/>
      <c r="D22" s="85"/>
      <c r="E22" s="40" t="str">
        <f xml:space="preserve">  InpC!E$50</f>
        <v>Opening Deferred Income</v>
      </c>
      <c r="F22" s="40">
        <f xml:space="preserve">  InpC!F$50</f>
        <v>0</v>
      </c>
      <c r="G22" s="40" t="str">
        <f xml:space="preserve">  InpC!G$50</f>
        <v>GBP</v>
      </c>
      <c r="M22" s="87"/>
    </row>
    <row r="23" spans="1:69">
      <c r="A23" s="18"/>
      <c r="B23" s="18"/>
      <c r="C23" s="28"/>
      <c r="D23" s="27"/>
      <c r="E23" s="9" t="str">
        <f xml:space="preserve">  Time!E$28</f>
        <v>Period number</v>
      </c>
      <c r="F23" s="9">
        <f xml:space="preserve">  Time!F$28</f>
        <v>0</v>
      </c>
      <c r="G23" s="9" t="str">
        <f xml:space="preserve">  Time!G$28</f>
        <v>Counter</v>
      </c>
      <c r="H23" s="9">
        <f xml:space="preserve">  Time!H$28</f>
        <v>0</v>
      </c>
      <c r="I23" s="9">
        <f xml:space="preserve">  Time!I$28</f>
        <v>0</v>
      </c>
      <c r="J23" s="9">
        <f xml:space="preserve">  Time!J$28</f>
        <v>1</v>
      </c>
      <c r="K23" s="9">
        <f xml:space="preserve">  Time!K$28</f>
        <v>2</v>
      </c>
      <c r="L23" s="9">
        <f xml:space="preserve">  Time!L$28</f>
        <v>3</v>
      </c>
      <c r="M23" s="9">
        <f xml:space="preserve">  Time!M$28</f>
        <v>4</v>
      </c>
      <c r="N23" s="9">
        <f xml:space="preserve">  Time!N$28</f>
        <v>5</v>
      </c>
      <c r="O23" s="9">
        <f xml:space="preserve">  Time!O$28</f>
        <v>6</v>
      </c>
      <c r="P23" s="9">
        <f xml:space="preserve">  Time!P$28</f>
        <v>7</v>
      </c>
      <c r="Q23" s="9">
        <f xml:space="preserve">  Time!Q$28</f>
        <v>8</v>
      </c>
      <c r="R23" s="9">
        <f xml:space="preserve">  Time!R$28</f>
        <v>9</v>
      </c>
      <c r="S23" s="9">
        <f xml:space="preserve">  Time!S$28</f>
        <v>10</v>
      </c>
      <c r="T23" s="9">
        <f xml:space="preserve">  Time!T$28</f>
        <v>11</v>
      </c>
      <c r="U23" s="9">
        <f xml:space="preserve">  Time!U$28</f>
        <v>12</v>
      </c>
      <c r="V23" s="9">
        <f xml:space="preserve">  Time!V$28</f>
        <v>13</v>
      </c>
      <c r="W23" s="9">
        <f xml:space="preserve">  Time!W$28</f>
        <v>14</v>
      </c>
      <c r="X23" s="9">
        <f xml:space="preserve">  Time!X$28</f>
        <v>15</v>
      </c>
      <c r="Y23" s="9">
        <f xml:space="preserve">  Time!Y$28</f>
        <v>16</v>
      </c>
      <c r="Z23" s="9">
        <f xml:space="preserve">  Time!Z$28</f>
        <v>17</v>
      </c>
      <c r="AA23" s="9">
        <f xml:space="preserve">  Time!AA$28</f>
        <v>18</v>
      </c>
      <c r="AB23" s="9">
        <f xml:space="preserve">  Time!AB$28</f>
        <v>19</v>
      </c>
      <c r="AC23" s="9">
        <f xml:space="preserve">  Time!AC$28</f>
        <v>20</v>
      </c>
      <c r="AD23" s="9">
        <f xml:space="preserve">  Time!AD$28</f>
        <v>21</v>
      </c>
      <c r="AE23" s="9">
        <f xml:space="preserve">  Time!AE$28</f>
        <v>22</v>
      </c>
      <c r="AF23" s="9">
        <f xml:space="preserve">  Time!AF$28</f>
        <v>23</v>
      </c>
      <c r="AG23" s="9">
        <f xml:space="preserve">  Time!AG$28</f>
        <v>24</v>
      </c>
      <c r="AH23" s="9">
        <f xml:space="preserve">  Time!AH$28</f>
        <v>25</v>
      </c>
      <c r="AI23" s="9">
        <f xml:space="preserve">  Time!AI$28</f>
        <v>26</v>
      </c>
      <c r="AJ23" s="9">
        <f xml:space="preserve">  Time!AJ$28</f>
        <v>27</v>
      </c>
      <c r="AK23" s="9">
        <f xml:space="preserve">  Time!AK$28</f>
        <v>28</v>
      </c>
      <c r="AL23" s="9">
        <f xml:space="preserve">  Time!AL$28</f>
        <v>29</v>
      </c>
      <c r="AM23" s="9">
        <f xml:space="preserve">  Time!AM$28</f>
        <v>30</v>
      </c>
      <c r="AN23" s="9">
        <f xml:space="preserve">  Time!AN$28</f>
        <v>31</v>
      </c>
      <c r="AO23" s="9">
        <f xml:space="preserve">  Time!AO$28</f>
        <v>32</v>
      </c>
      <c r="AP23" s="9">
        <f xml:space="preserve">  Time!AP$28</f>
        <v>33</v>
      </c>
      <c r="AQ23" s="9">
        <f xml:space="preserve">  Time!AQ$28</f>
        <v>34</v>
      </c>
      <c r="AR23" s="9">
        <f xml:space="preserve">  Time!AR$28</f>
        <v>35</v>
      </c>
      <c r="AS23" s="9">
        <f xml:space="preserve">  Time!AS$28</f>
        <v>36</v>
      </c>
      <c r="AT23" s="9">
        <f xml:space="preserve">  Time!AT$28</f>
        <v>37</v>
      </c>
      <c r="AU23" s="9">
        <f xml:space="preserve">  Time!AU$28</f>
        <v>38</v>
      </c>
      <c r="AV23" s="9">
        <f xml:space="preserve">  Time!AV$28</f>
        <v>39</v>
      </c>
      <c r="AW23" s="9">
        <f xml:space="preserve">  Time!AW$28</f>
        <v>40</v>
      </c>
      <c r="AX23" s="9">
        <f xml:space="preserve">  Time!AX$28</f>
        <v>41</v>
      </c>
      <c r="AY23" s="9">
        <f xml:space="preserve">  Time!AY$28</f>
        <v>42</v>
      </c>
      <c r="AZ23" s="9">
        <f xml:space="preserve">  Time!AZ$28</f>
        <v>43</v>
      </c>
      <c r="BA23" s="9">
        <f xml:space="preserve">  Time!BA$28</f>
        <v>44</v>
      </c>
      <c r="BB23" s="9">
        <f xml:space="preserve">  Time!BB$28</f>
        <v>45</v>
      </c>
      <c r="BC23" s="9">
        <f xml:space="preserve">  Time!BC$28</f>
        <v>46</v>
      </c>
      <c r="BD23" s="9">
        <f xml:space="preserve">  Time!BD$28</f>
        <v>47</v>
      </c>
      <c r="BE23" s="9">
        <f xml:space="preserve">  Time!BE$28</f>
        <v>48</v>
      </c>
      <c r="BF23" s="9">
        <f xml:space="preserve">  Time!BF$28</f>
        <v>49</v>
      </c>
      <c r="BG23" s="9">
        <f xml:space="preserve">  Time!BG$28</f>
        <v>50</v>
      </c>
      <c r="BH23" s="9">
        <f xml:space="preserve">  Time!BH$28</f>
        <v>51</v>
      </c>
      <c r="BI23" s="9">
        <f xml:space="preserve">  Time!BI$28</f>
        <v>52</v>
      </c>
      <c r="BJ23" s="9">
        <f xml:space="preserve">  Time!BJ$28</f>
        <v>53</v>
      </c>
      <c r="BK23" s="9">
        <f xml:space="preserve">  Time!BK$28</f>
        <v>54</v>
      </c>
      <c r="BL23" s="9">
        <f xml:space="preserve">  Time!BL$28</f>
        <v>55</v>
      </c>
      <c r="BM23" s="9">
        <f xml:space="preserve">  Time!BM$28</f>
        <v>56</v>
      </c>
      <c r="BN23" s="9">
        <f xml:space="preserve">  Time!BN$28</f>
        <v>57</v>
      </c>
      <c r="BO23" s="9">
        <f xml:space="preserve">  Time!BO$28</f>
        <v>58</v>
      </c>
      <c r="BP23" s="9">
        <f xml:space="preserve">  Time!BP$28</f>
        <v>59</v>
      </c>
      <c r="BQ23" s="9">
        <f xml:space="preserve">  Time!BQ$28</f>
        <v>60</v>
      </c>
    </row>
    <row r="24" spans="1:69">
      <c r="E24" s="47" t="s">
        <v>87</v>
      </c>
      <c r="G24" s="47" t="s">
        <v>257</v>
      </c>
      <c r="J24" s="2">
        <f t="shared" ref="J24:BQ24" si="1" xml:space="preserve">  I27</f>
        <v>0</v>
      </c>
      <c r="K24" s="2">
        <f t="shared" ca="1" si="1"/>
        <v>0</v>
      </c>
      <c r="L24" s="2">
        <f t="shared" ca="1" si="1"/>
        <v>0</v>
      </c>
      <c r="M24" s="2">
        <f t="shared" ca="1" si="1"/>
        <v>770000</v>
      </c>
      <c r="N24" s="2">
        <f t="shared" ca="1" si="1"/>
        <v>1085000</v>
      </c>
      <c r="O24" s="2">
        <f t="shared" ca="1" si="1"/>
        <v>1365000</v>
      </c>
      <c r="P24" s="2">
        <f t="shared" ca="1" si="1"/>
        <v>1610000</v>
      </c>
      <c r="Q24" s="2">
        <f t="shared" ca="1" si="1"/>
        <v>3360000</v>
      </c>
      <c r="R24" s="2">
        <f t="shared" ca="1" si="1"/>
        <v>4165000</v>
      </c>
      <c r="S24" s="2">
        <f t="shared" ca="1" si="1"/>
        <v>4480000</v>
      </c>
      <c r="T24" s="2">
        <f t="shared" ca="1" si="1"/>
        <v>3955000</v>
      </c>
      <c r="U24" s="2">
        <f t="shared" ca="1" si="1"/>
        <v>7280000</v>
      </c>
      <c r="V24" s="2">
        <f t="shared" ca="1" si="1"/>
        <v>6405000</v>
      </c>
      <c r="W24" s="2">
        <f t="shared" ca="1" si="1"/>
        <v>9380000</v>
      </c>
      <c r="X24" s="2">
        <f t="shared" ca="1" si="1"/>
        <v>11349466.456641642</v>
      </c>
      <c r="Y24" s="2">
        <f t="shared" ca="1" si="1"/>
        <v>11329593.958487123</v>
      </c>
      <c r="Z24" s="2">
        <f t="shared" ca="1" si="1"/>
        <v>13969023.554504545</v>
      </c>
      <c r="AA24" s="2">
        <f t="shared" ca="1" si="1"/>
        <v>12524645.813394628</v>
      </c>
      <c r="AB24" s="2">
        <f t="shared" ca="1" si="1"/>
        <v>11019645.813394628</v>
      </c>
      <c r="AC24" s="2">
        <f t="shared" ca="1" si="1"/>
        <v>11194645.813394628</v>
      </c>
      <c r="AD24" s="2">
        <f t="shared" ca="1" si="1"/>
        <v>10529645.813394628</v>
      </c>
      <c r="AE24" s="2">
        <f t="shared" ca="1" si="1"/>
        <v>9444645.8133946285</v>
      </c>
      <c r="AF24" s="2">
        <f t="shared" ca="1" si="1"/>
        <v>9444645.8133946285</v>
      </c>
      <c r="AG24" s="2">
        <f t="shared" ca="1" si="1"/>
        <v>13469645.813394628</v>
      </c>
      <c r="AH24" s="2">
        <f t="shared" ca="1" si="1"/>
        <v>13119645.813394628</v>
      </c>
      <c r="AI24" s="2">
        <f t="shared" ca="1" si="1"/>
        <v>18754645.813394628</v>
      </c>
      <c r="AJ24" s="2">
        <f t="shared" ca="1" si="1"/>
        <v>21434518.311549149</v>
      </c>
      <c r="AK24" s="2">
        <f t="shared" ca="1" si="1"/>
        <v>23129645.813394628</v>
      </c>
      <c r="AL24" s="2">
        <f t="shared" ca="1" si="1"/>
        <v>26009023.554504544</v>
      </c>
      <c r="AM24" s="2">
        <f t="shared" ca="1" si="1"/>
        <v>26664645.813394628</v>
      </c>
      <c r="AN24" s="2">
        <f t="shared" ca="1" si="1"/>
        <v>27014645.813394628</v>
      </c>
      <c r="AO24" s="2">
        <f t="shared" ca="1" si="1"/>
        <v>27119645.813394628</v>
      </c>
      <c r="AP24" s="2">
        <f t="shared" ca="1" si="1"/>
        <v>27049645.813394628</v>
      </c>
      <c r="AQ24" s="2">
        <f t="shared" ca="1" si="1"/>
        <v>28729645.813394628</v>
      </c>
      <c r="AR24" s="2">
        <f t="shared" ca="1" si="1"/>
        <v>30234645.813394628</v>
      </c>
      <c r="AS24" s="2">
        <f t="shared" ca="1" si="1"/>
        <v>33489645.813394628</v>
      </c>
      <c r="AT24" s="2">
        <f t="shared" ca="1" si="1"/>
        <v>36394645.813394628</v>
      </c>
      <c r="AU24" s="2">
        <f t="shared" ca="1" si="1"/>
        <v>42985051.854907505</v>
      </c>
      <c r="AV24" s="2">
        <f t="shared" ca="1" si="1"/>
        <v>45046888.75487452</v>
      </c>
      <c r="AW24" s="2">
        <f t="shared" ca="1" si="1"/>
        <v>50816836.899967015</v>
      </c>
      <c r="AX24" s="2">
        <f t="shared" ca="1" si="1"/>
        <v>55932271.22879111</v>
      </c>
      <c r="AY24" s="2">
        <f t="shared" ca="1" si="1"/>
        <v>60581302.53209497</v>
      </c>
      <c r="AZ24" s="2">
        <f t="shared" ca="1" si="1"/>
        <v>66702821.208814114</v>
      </c>
      <c r="BA24" s="2">
        <f t="shared" ca="1" si="1"/>
        <v>72211543.623986676</v>
      </c>
      <c r="BB24" s="2">
        <f t="shared" ca="1" si="1"/>
        <v>77123061.223253667</v>
      </c>
      <c r="BC24" s="2">
        <f t="shared" ca="1" si="1"/>
        <v>83553892.567859471</v>
      </c>
      <c r="BD24" s="2">
        <f t="shared" ca="1" si="1"/>
        <v>89246538.463814378</v>
      </c>
      <c r="BE24" s="2">
        <f t="shared" ca="1" si="1"/>
        <v>96319540.369207889</v>
      </c>
      <c r="BF24" s="2">
        <f t="shared" ca="1" si="1"/>
        <v>104617542.2746014</v>
      </c>
      <c r="BG24" s="2">
        <f t="shared" ca="1" si="1"/>
        <v>114192856.26302066</v>
      </c>
      <c r="BH24" s="2">
        <f t="shared" ca="1" si="1"/>
        <v>120867531.96834821</v>
      </c>
      <c r="BI24" s="2">
        <f t="shared" ca="1" si="1"/>
        <v>130789930.16392669</v>
      </c>
      <c r="BJ24" s="2">
        <f t="shared" ca="1" si="1"/>
        <v>141884800.72696838</v>
      </c>
      <c r="BK24" s="2">
        <f t="shared" ca="1" si="1"/>
        <v>151966365.23896959</v>
      </c>
      <c r="BL24" s="2">
        <f t="shared" ca="1" si="1"/>
        <v>163162404.49780139</v>
      </c>
      <c r="BM24" s="2">
        <f t="shared" ca="1" si="1"/>
        <v>175327351.23354003</v>
      </c>
      <c r="BN24" s="2">
        <f t="shared" ca="1" si="1"/>
        <v>186455388.33746752</v>
      </c>
      <c r="BO24" s="2">
        <f t="shared" ca="1" si="1"/>
        <v>198504552.93207264</v>
      </c>
      <c r="BP24" s="2">
        <f t="shared" ca="1" si="1"/>
        <v>213434846.62937599</v>
      </c>
      <c r="BQ24" s="2">
        <f t="shared" ca="1" si="1"/>
        <v>227083352.34555653</v>
      </c>
    </row>
    <row r="25" spans="1:69">
      <c r="D25" s="94" t="s">
        <v>220</v>
      </c>
      <c r="E25" s="2" t="str">
        <f t="shared" ref="E25:BQ25" si="2" xml:space="preserve">  E$12</f>
        <v>New Deferred Income from customer orders</v>
      </c>
      <c r="F25" s="2">
        <f t="shared" si="2"/>
        <v>0</v>
      </c>
      <c r="G25" s="2" t="str">
        <f t="shared" si="2"/>
        <v>GBP</v>
      </c>
      <c r="H25" s="2">
        <f t="shared" ca="1" si="2"/>
        <v>655200000</v>
      </c>
      <c r="I25" s="2">
        <f t="shared" si="2"/>
        <v>0</v>
      </c>
      <c r="J25" s="2">
        <f t="shared" ca="1" si="2"/>
        <v>0</v>
      </c>
      <c r="K25" s="2">
        <f t="shared" ca="1" si="2"/>
        <v>0</v>
      </c>
      <c r="L25" s="2">
        <f t="shared" ca="1" si="2"/>
        <v>840000</v>
      </c>
      <c r="M25" s="2">
        <f t="shared" ca="1" si="2"/>
        <v>420000</v>
      </c>
      <c r="N25" s="2">
        <f t="shared" ca="1" si="2"/>
        <v>420000</v>
      </c>
      <c r="O25" s="2">
        <f t="shared" ca="1" si="2"/>
        <v>420000</v>
      </c>
      <c r="P25" s="2">
        <f t="shared" ca="1" si="2"/>
        <v>2100000</v>
      </c>
      <c r="Q25" s="2">
        <f t="shared" ca="1" si="2"/>
        <v>1260000</v>
      </c>
      <c r="R25" s="2">
        <f t="shared" ca="1" si="2"/>
        <v>840000</v>
      </c>
      <c r="S25" s="2">
        <f t="shared" ca="1" si="2"/>
        <v>0</v>
      </c>
      <c r="T25" s="2">
        <f t="shared" ca="1" si="2"/>
        <v>4200000</v>
      </c>
      <c r="U25" s="2">
        <f t="shared" ca="1" si="2"/>
        <v>0</v>
      </c>
      <c r="V25" s="2">
        <f t="shared" ca="1" si="2"/>
        <v>4200000</v>
      </c>
      <c r="W25" s="2">
        <f t="shared" ca="1" si="2"/>
        <v>3484872.4981545196</v>
      </c>
      <c r="X25" s="2">
        <f t="shared" ca="1" si="2"/>
        <v>1555127.5018454804</v>
      </c>
      <c r="Y25" s="2">
        <f t="shared" ca="1" si="2"/>
        <v>4559377.741109916</v>
      </c>
      <c r="Z25" s="2">
        <f t="shared" ca="1" si="2"/>
        <v>480622.25889008382</v>
      </c>
      <c r="AA25" s="2">
        <f t="shared" ca="1" si="2"/>
        <v>420000</v>
      </c>
      <c r="AB25" s="2">
        <f t="shared" ca="1" si="2"/>
        <v>2100000</v>
      </c>
      <c r="AC25" s="2">
        <f t="shared" ca="1" si="2"/>
        <v>1260000</v>
      </c>
      <c r="AD25" s="2">
        <f t="shared" ca="1" si="2"/>
        <v>840000</v>
      </c>
      <c r="AE25" s="2">
        <f t="shared" ca="1" si="2"/>
        <v>2100000</v>
      </c>
      <c r="AF25" s="2">
        <f t="shared" ca="1" si="2"/>
        <v>6300000</v>
      </c>
      <c r="AG25" s="2">
        <f t="shared" ca="1" si="2"/>
        <v>2100000</v>
      </c>
      <c r="AH25" s="2">
        <f t="shared" ca="1" si="2"/>
        <v>8400000</v>
      </c>
      <c r="AI25" s="2">
        <f t="shared" ca="1" si="2"/>
        <v>5584872.4981545191</v>
      </c>
      <c r="AJ25" s="2">
        <f t="shared" ca="1" si="2"/>
        <v>4915127.5018454809</v>
      </c>
      <c r="AK25" s="2">
        <f t="shared" ca="1" si="2"/>
        <v>6239377.741109916</v>
      </c>
      <c r="AL25" s="2">
        <f t="shared" ca="1" si="2"/>
        <v>4260622.258890084</v>
      </c>
      <c r="AM25" s="2">
        <f t="shared" ca="1" si="2"/>
        <v>4200000</v>
      </c>
      <c r="AN25" s="2">
        <f t="shared" ca="1" si="2"/>
        <v>4200000</v>
      </c>
      <c r="AO25" s="2">
        <f t="shared" ca="1" si="2"/>
        <v>4200000</v>
      </c>
      <c r="AP25" s="2">
        <f t="shared" ca="1" si="2"/>
        <v>6300000</v>
      </c>
      <c r="AQ25" s="2">
        <f t="shared" ca="1" si="2"/>
        <v>6300000</v>
      </c>
      <c r="AR25" s="2">
        <f t="shared" ca="1" si="2"/>
        <v>8400000</v>
      </c>
      <c r="AS25" s="2">
        <f t="shared" ca="1" si="2"/>
        <v>8400000</v>
      </c>
      <c r="AT25" s="2">
        <f t="shared" ca="1" si="2"/>
        <v>12600000</v>
      </c>
      <c r="AU25" s="2">
        <f t="shared" ca="1" si="2"/>
        <v>8400000</v>
      </c>
      <c r="AV25" s="2">
        <f t="shared" ca="1" si="2"/>
        <v>12600000</v>
      </c>
      <c r="AW25" s="2">
        <f t="shared" ca="1" si="2"/>
        <v>12600000</v>
      </c>
      <c r="AX25" s="2">
        <f t="shared" ca="1" si="2"/>
        <v>12600000</v>
      </c>
      <c r="AY25" s="2">
        <f t="shared" ca="1" si="2"/>
        <v>14700000</v>
      </c>
      <c r="AZ25" s="2">
        <f t="shared" ca="1" si="2"/>
        <v>14700000</v>
      </c>
      <c r="BA25" s="2">
        <f t="shared" ca="1" si="2"/>
        <v>14700000</v>
      </c>
      <c r="BB25" s="2">
        <f t="shared" ca="1" si="2"/>
        <v>16800000</v>
      </c>
      <c r="BC25" s="2">
        <f t="shared" ca="1" si="2"/>
        <v>16800000</v>
      </c>
      <c r="BD25" s="2">
        <f t="shared" ca="1" si="2"/>
        <v>18900000</v>
      </c>
      <c r="BE25" s="2">
        <f t="shared" ca="1" si="2"/>
        <v>21000000</v>
      </c>
      <c r="BF25" s="2">
        <f t="shared" ca="1" si="2"/>
        <v>23100000</v>
      </c>
      <c r="BG25" s="2">
        <f t="shared" ca="1" si="2"/>
        <v>21000000</v>
      </c>
      <c r="BH25" s="2">
        <f t="shared" ca="1" si="2"/>
        <v>25200000</v>
      </c>
      <c r="BI25" s="2">
        <f t="shared" ca="1" si="2"/>
        <v>27300000</v>
      </c>
      <c r="BJ25" s="2">
        <f t="shared" ca="1" si="2"/>
        <v>27300000</v>
      </c>
      <c r="BK25" s="2">
        <f t="shared" ca="1" si="2"/>
        <v>29400000</v>
      </c>
      <c r="BL25" s="2">
        <f t="shared" ca="1" si="2"/>
        <v>31499999.999999996</v>
      </c>
      <c r="BM25" s="2">
        <f t="shared" ca="1" si="2"/>
        <v>31500000.000000004</v>
      </c>
      <c r="BN25" s="2">
        <f t="shared" ca="1" si="2"/>
        <v>33599999.999999993</v>
      </c>
      <c r="BO25" s="2">
        <f t="shared" ca="1" si="2"/>
        <v>37800000</v>
      </c>
      <c r="BP25" s="2">
        <f t="shared" ca="1" si="2"/>
        <v>37800000</v>
      </c>
      <c r="BQ25" s="2">
        <f t="shared" ca="1" si="2"/>
        <v>42000000</v>
      </c>
    </row>
    <row r="26" spans="1:69">
      <c r="D26" s="94" t="s">
        <v>299</v>
      </c>
      <c r="E26" s="2" t="str">
        <f t="shared" ref="E26:BQ26" si="3" xml:space="preserve">  E$18</f>
        <v>Income</v>
      </c>
      <c r="F26" s="2">
        <f t="shared" si="3"/>
        <v>0</v>
      </c>
      <c r="G26" s="2" t="str">
        <f t="shared" si="3"/>
        <v>GBP</v>
      </c>
      <c r="H26" s="2">
        <f t="shared" ca="1" si="3"/>
        <v>411685641.93826306</v>
      </c>
      <c r="I26" s="2">
        <f t="shared" si="3"/>
        <v>0</v>
      </c>
      <c r="J26" s="2">
        <f t="shared" ca="1" si="3"/>
        <v>0</v>
      </c>
      <c r="K26" s="2">
        <f t="shared" ca="1" si="3"/>
        <v>0</v>
      </c>
      <c r="L26" s="2">
        <f t="shared" ca="1" si="3"/>
        <v>70000</v>
      </c>
      <c r="M26" s="2">
        <f t="shared" ca="1" si="3"/>
        <v>105000</v>
      </c>
      <c r="N26" s="2">
        <f t="shared" ca="1" si="3"/>
        <v>140000</v>
      </c>
      <c r="O26" s="2">
        <f t="shared" ca="1" si="3"/>
        <v>175000</v>
      </c>
      <c r="P26" s="2">
        <f t="shared" ca="1" si="3"/>
        <v>350000</v>
      </c>
      <c r="Q26" s="2">
        <f t="shared" ca="1" si="3"/>
        <v>455000</v>
      </c>
      <c r="R26" s="2">
        <f t="shared" ca="1" si="3"/>
        <v>525000</v>
      </c>
      <c r="S26" s="2">
        <f t="shared" ca="1" si="3"/>
        <v>525000</v>
      </c>
      <c r="T26" s="2">
        <f t="shared" ca="1" si="3"/>
        <v>875000</v>
      </c>
      <c r="U26" s="2">
        <f t="shared" ca="1" si="3"/>
        <v>875000</v>
      </c>
      <c r="V26" s="2">
        <f t="shared" ca="1" si="3"/>
        <v>1225000</v>
      </c>
      <c r="W26" s="2">
        <f t="shared" ca="1" si="3"/>
        <v>1515406.0415128767</v>
      </c>
      <c r="X26" s="2">
        <f t="shared" ca="1" si="3"/>
        <v>1575000</v>
      </c>
      <c r="Y26" s="2">
        <f t="shared" ca="1" si="3"/>
        <v>1919948.1450924932</v>
      </c>
      <c r="Z26" s="2">
        <f t="shared" ca="1" si="3"/>
        <v>1925000</v>
      </c>
      <c r="AA26" s="2">
        <f t="shared" ca="1" si="3"/>
        <v>1925000</v>
      </c>
      <c r="AB26" s="2">
        <f t="shared" ca="1" si="3"/>
        <v>1925000</v>
      </c>
      <c r="AC26" s="2">
        <f t="shared" ca="1" si="3"/>
        <v>1925000</v>
      </c>
      <c r="AD26" s="2">
        <f t="shared" ca="1" si="3"/>
        <v>1925000</v>
      </c>
      <c r="AE26" s="2">
        <f t="shared" ca="1" si="3"/>
        <v>2100000</v>
      </c>
      <c r="AF26" s="2">
        <f t="shared" ca="1" si="3"/>
        <v>2275000</v>
      </c>
      <c r="AG26" s="2">
        <f t="shared" ca="1" si="3"/>
        <v>2450000</v>
      </c>
      <c r="AH26" s="2">
        <f t="shared" ca="1" si="3"/>
        <v>2765000</v>
      </c>
      <c r="AI26" s="2">
        <f t="shared" ca="1" si="3"/>
        <v>2905000</v>
      </c>
      <c r="AJ26" s="2">
        <f t="shared" ca="1" si="3"/>
        <v>3220000</v>
      </c>
      <c r="AK26" s="2">
        <f t="shared" ca="1" si="3"/>
        <v>3360000</v>
      </c>
      <c r="AL26" s="2">
        <f t="shared" ca="1" si="3"/>
        <v>3605000</v>
      </c>
      <c r="AM26" s="2">
        <f t="shared" ca="1" si="3"/>
        <v>3850000</v>
      </c>
      <c r="AN26" s="2">
        <f t="shared" ca="1" si="3"/>
        <v>4095000</v>
      </c>
      <c r="AO26" s="2">
        <f t="shared" ca="1" si="3"/>
        <v>4270000</v>
      </c>
      <c r="AP26" s="2">
        <f t="shared" ca="1" si="3"/>
        <v>4620000</v>
      </c>
      <c r="AQ26" s="2">
        <f t="shared" ca="1" si="3"/>
        <v>4795000</v>
      </c>
      <c r="AR26" s="2">
        <f t="shared" ca="1" si="3"/>
        <v>5145000</v>
      </c>
      <c r="AS26" s="2">
        <f t="shared" ca="1" si="3"/>
        <v>5495000</v>
      </c>
      <c r="AT26" s="2">
        <f t="shared" ca="1" si="3"/>
        <v>6009593.9584871242</v>
      </c>
      <c r="AU26" s="2">
        <f t="shared" ca="1" si="3"/>
        <v>6338163.1000329833</v>
      </c>
      <c r="AV26" s="2">
        <f t="shared" ca="1" si="3"/>
        <v>6830051.8549075071</v>
      </c>
      <c r="AW26" s="2">
        <f t="shared" ca="1" si="3"/>
        <v>7484565.6711759046</v>
      </c>
      <c r="AX26" s="2">
        <f t="shared" ca="1" si="3"/>
        <v>7950968.6966961483</v>
      </c>
      <c r="AY26" s="2">
        <f t="shared" ca="1" si="3"/>
        <v>8578481.323280856</v>
      </c>
      <c r="AZ26" s="2">
        <f t="shared" ca="1" si="3"/>
        <v>9191277.584827438</v>
      </c>
      <c r="BA26" s="2">
        <f t="shared" ca="1" si="3"/>
        <v>9788482.4007330053</v>
      </c>
      <c r="BB26" s="2">
        <f t="shared" ca="1" si="3"/>
        <v>10369168.655394204</v>
      </c>
      <c r="BC26" s="2">
        <f t="shared" ca="1" si="3"/>
        <v>11107354.104045086</v>
      </c>
      <c r="BD26" s="2">
        <f t="shared" ca="1" si="3"/>
        <v>11826998.094606493</v>
      </c>
      <c r="BE26" s="2">
        <f t="shared" ca="1" si="3"/>
        <v>12701998.094606493</v>
      </c>
      <c r="BF26" s="2">
        <f t="shared" ca="1" si="3"/>
        <v>13524686.011580739</v>
      </c>
      <c r="BG26" s="2">
        <f t="shared" ca="1" si="3"/>
        <v>14325324.294672459</v>
      </c>
      <c r="BH26" s="2">
        <f t="shared" ca="1" si="3"/>
        <v>15277601.804421507</v>
      </c>
      <c r="BI26" s="2">
        <f t="shared" ca="1" si="3"/>
        <v>16205129.4369583</v>
      </c>
      <c r="BJ26" s="2">
        <f t="shared" ca="1" si="3"/>
        <v>17218435.487998791</v>
      </c>
      <c r="BK26" s="2">
        <f t="shared" ca="1" si="3"/>
        <v>18203960.741168205</v>
      </c>
      <c r="BL26" s="2">
        <f t="shared" ca="1" si="3"/>
        <v>19335053.264261369</v>
      </c>
      <c r="BM26" s="2">
        <f t="shared" ca="1" si="3"/>
        <v>20371962.896072499</v>
      </c>
      <c r="BN26" s="2">
        <f t="shared" ca="1" si="3"/>
        <v>21550835.405394897</v>
      </c>
      <c r="BO26" s="2">
        <f t="shared" ca="1" si="3"/>
        <v>22869706.30269666</v>
      </c>
      <c r="BP26" s="2">
        <f t="shared" ca="1" si="3"/>
        <v>24151494.283819474</v>
      </c>
      <c r="BQ26" s="2">
        <f t="shared" ca="1" si="3"/>
        <v>25568994.283819474</v>
      </c>
    </row>
    <row r="27" spans="1:69" s="86" customFormat="1">
      <c r="A27" s="63"/>
      <c r="B27" s="63"/>
      <c r="C27" s="89"/>
      <c r="D27" s="91"/>
      <c r="E27" s="33" t="s">
        <v>346</v>
      </c>
      <c r="F27" s="33"/>
      <c r="G27" s="33" t="s">
        <v>257</v>
      </c>
      <c r="H27" s="33"/>
      <c r="I27" s="11">
        <f t="shared" ref="I27:BQ27" si="4" xml:space="preserve">  IF( I23 = 0, $F22, I24 + I25 - I26 )</f>
        <v>0</v>
      </c>
      <c r="J27" s="11">
        <f t="shared" ca="1" si="4"/>
        <v>0</v>
      </c>
      <c r="K27" s="11">
        <f t="shared" ca="1" si="4"/>
        <v>0</v>
      </c>
      <c r="L27" s="11">
        <f t="shared" ca="1" si="4"/>
        <v>770000</v>
      </c>
      <c r="M27" s="11">
        <f t="shared" ca="1" si="4"/>
        <v>1085000</v>
      </c>
      <c r="N27" s="11">
        <f t="shared" ca="1" si="4"/>
        <v>1365000</v>
      </c>
      <c r="O27" s="11">
        <f t="shared" ca="1" si="4"/>
        <v>1610000</v>
      </c>
      <c r="P27" s="11">
        <f t="shared" ca="1" si="4"/>
        <v>3360000</v>
      </c>
      <c r="Q27" s="11">
        <f t="shared" ca="1" si="4"/>
        <v>4165000</v>
      </c>
      <c r="R27" s="11">
        <f t="shared" ca="1" si="4"/>
        <v>4480000</v>
      </c>
      <c r="S27" s="11">
        <f t="shared" ca="1" si="4"/>
        <v>3955000</v>
      </c>
      <c r="T27" s="11">
        <f t="shared" ca="1" si="4"/>
        <v>7280000</v>
      </c>
      <c r="U27" s="11">
        <f t="shared" ca="1" si="4"/>
        <v>6405000</v>
      </c>
      <c r="V27" s="11">
        <f t="shared" ca="1" si="4"/>
        <v>9380000</v>
      </c>
      <c r="W27" s="11">
        <f t="shared" ca="1" si="4"/>
        <v>11349466.456641642</v>
      </c>
      <c r="X27" s="11">
        <f t="shared" ca="1" si="4"/>
        <v>11329593.958487123</v>
      </c>
      <c r="Y27" s="11">
        <f t="shared" ca="1" si="4"/>
        <v>13969023.554504545</v>
      </c>
      <c r="Z27" s="11">
        <f t="shared" ca="1" si="4"/>
        <v>12524645.813394628</v>
      </c>
      <c r="AA27" s="11">
        <f t="shared" ca="1" si="4"/>
        <v>11019645.813394628</v>
      </c>
      <c r="AB27" s="11">
        <f t="shared" ca="1" si="4"/>
        <v>11194645.813394628</v>
      </c>
      <c r="AC27" s="11">
        <f t="shared" ca="1" si="4"/>
        <v>10529645.813394628</v>
      </c>
      <c r="AD27" s="11">
        <f t="shared" ca="1" si="4"/>
        <v>9444645.8133946285</v>
      </c>
      <c r="AE27" s="11">
        <f t="shared" ca="1" si="4"/>
        <v>9444645.8133946285</v>
      </c>
      <c r="AF27" s="11">
        <f t="shared" ca="1" si="4"/>
        <v>13469645.813394628</v>
      </c>
      <c r="AG27" s="11">
        <f t="shared" ca="1" si="4"/>
        <v>13119645.813394628</v>
      </c>
      <c r="AH27" s="11">
        <f t="shared" ca="1" si="4"/>
        <v>18754645.813394628</v>
      </c>
      <c r="AI27" s="11">
        <f t="shared" ca="1" si="4"/>
        <v>21434518.311549149</v>
      </c>
      <c r="AJ27" s="11">
        <f t="shared" ca="1" si="4"/>
        <v>23129645.813394628</v>
      </c>
      <c r="AK27" s="11">
        <f t="shared" ca="1" si="4"/>
        <v>26009023.554504544</v>
      </c>
      <c r="AL27" s="11">
        <f t="shared" ca="1" si="4"/>
        <v>26664645.813394628</v>
      </c>
      <c r="AM27" s="11">
        <f t="shared" ca="1" si="4"/>
        <v>27014645.813394628</v>
      </c>
      <c r="AN27" s="11">
        <f t="shared" ca="1" si="4"/>
        <v>27119645.813394628</v>
      </c>
      <c r="AO27" s="11">
        <f t="shared" ca="1" si="4"/>
        <v>27049645.813394628</v>
      </c>
      <c r="AP27" s="11">
        <f t="shared" ca="1" si="4"/>
        <v>28729645.813394628</v>
      </c>
      <c r="AQ27" s="11">
        <f t="shared" ca="1" si="4"/>
        <v>30234645.813394628</v>
      </c>
      <c r="AR27" s="11">
        <f t="shared" ca="1" si="4"/>
        <v>33489645.813394628</v>
      </c>
      <c r="AS27" s="11">
        <f t="shared" ca="1" si="4"/>
        <v>36394645.813394628</v>
      </c>
      <c r="AT27" s="11">
        <f t="shared" ca="1" si="4"/>
        <v>42985051.854907505</v>
      </c>
      <c r="AU27" s="11">
        <f t="shared" ca="1" si="4"/>
        <v>45046888.75487452</v>
      </c>
      <c r="AV27" s="11">
        <f t="shared" ca="1" si="4"/>
        <v>50816836.899967015</v>
      </c>
      <c r="AW27" s="11">
        <f t="shared" ca="1" si="4"/>
        <v>55932271.22879111</v>
      </c>
      <c r="AX27" s="11">
        <f t="shared" ca="1" si="4"/>
        <v>60581302.53209497</v>
      </c>
      <c r="AY27" s="11">
        <f t="shared" ca="1" si="4"/>
        <v>66702821.208814114</v>
      </c>
      <c r="AZ27" s="11">
        <f t="shared" ca="1" si="4"/>
        <v>72211543.623986676</v>
      </c>
      <c r="BA27" s="11">
        <f t="shared" ca="1" si="4"/>
        <v>77123061.223253667</v>
      </c>
      <c r="BB27" s="11">
        <f t="shared" ca="1" si="4"/>
        <v>83553892.567859471</v>
      </c>
      <c r="BC27" s="11">
        <f t="shared" ca="1" si="4"/>
        <v>89246538.463814378</v>
      </c>
      <c r="BD27" s="11">
        <f t="shared" ca="1" si="4"/>
        <v>96319540.369207889</v>
      </c>
      <c r="BE27" s="11">
        <f t="shared" ca="1" si="4"/>
        <v>104617542.2746014</v>
      </c>
      <c r="BF27" s="11">
        <f t="shared" ca="1" si="4"/>
        <v>114192856.26302066</v>
      </c>
      <c r="BG27" s="11">
        <f t="shared" ca="1" si="4"/>
        <v>120867531.96834821</v>
      </c>
      <c r="BH27" s="11">
        <f t="shared" ca="1" si="4"/>
        <v>130789930.16392669</v>
      </c>
      <c r="BI27" s="11">
        <f t="shared" ca="1" si="4"/>
        <v>141884800.72696838</v>
      </c>
      <c r="BJ27" s="11">
        <f t="shared" ca="1" si="4"/>
        <v>151966365.23896959</v>
      </c>
      <c r="BK27" s="11">
        <f t="shared" ca="1" si="4"/>
        <v>163162404.49780139</v>
      </c>
      <c r="BL27" s="11">
        <f t="shared" ca="1" si="4"/>
        <v>175327351.23354003</v>
      </c>
      <c r="BM27" s="11">
        <f t="shared" ca="1" si="4"/>
        <v>186455388.33746752</v>
      </c>
      <c r="BN27" s="11">
        <f t="shared" ca="1" si="4"/>
        <v>198504552.93207264</v>
      </c>
      <c r="BO27" s="11">
        <f t="shared" ca="1" si="4"/>
        <v>213434846.62937599</v>
      </c>
      <c r="BP27" s="11">
        <f t="shared" ca="1" si="4"/>
        <v>227083352.34555653</v>
      </c>
      <c r="BQ27" s="11">
        <f t="shared" ca="1" si="4"/>
        <v>243514358.06173703</v>
      </c>
    </row>
    <row r="30" spans="1:69">
      <c r="B30" s="25" t="s">
        <v>271</v>
      </c>
    </row>
  </sheetData>
  <conditionalFormatting sqref="F2:F3">
    <cfRule type="cellIs" dxfId="231" priority="1" stopIfTrue="1" operator="notEqual">
      <formula>0</formula>
    </cfRule>
    <cfRule type="cellIs" dxfId="230" priority="2" stopIfTrue="1" operator="equal">
      <formula>""</formula>
    </cfRule>
  </conditionalFormatting>
  <conditionalFormatting sqref="J3:BQ3">
    <cfRule type="cellIs" dxfId="229" priority="8" operator="equal">
      <formula>"PPA ext."</formula>
    </cfRule>
    <cfRule type="cellIs" dxfId="228" priority="9" operator="equal">
      <formula>"Delay"</formula>
    </cfRule>
    <cfRule type="cellIs" dxfId="227" priority="10" operator="equal">
      <formula>"Fin Close"</formula>
    </cfRule>
    <cfRule type="cellIs" dxfId="226" priority="11" stopIfTrue="1" operator="equal">
      <formula>"Construction"</formula>
    </cfRule>
    <cfRule type="cellIs" dxfId="22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outlinePr summaryBelow="0" summaryRight="0"/>
  </sheetPr>
  <dimension ref="A1:BQ8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39.33203125" style="47" bestFit="1" customWidth="1"/>
    <col min="6" max="6" width="20.5546875" style="47" bestFit="1" customWidth="1"/>
    <col min="7" max="8" width="13.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Inventory</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198</v>
      </c>
    </row>
    <row r="9" spans="1:69" outlineLevel="1">
      <c r="A9" s="18"/>
      <c r="B9" s="18"/>
      <c r="C9" s="28"/>
      <c r="D9" s="27"/>
      <c r="E9" s="43" t="str">
        <f xml:space="preserve">  InpC!E$86</f>
        <v>VAT rate</v>
      </c>
      <c r="F9" s="43">
        <f xml:space="preserve">  InpC!F$86</f>
        <v>0.2</v>
      </c>
      <c r="G9" s="43" t="str">
        <f xml:space="preserve">  InpC!G$86</f>
        <v>%</v>
      </c>
      <c r="M9" s="57"/>
    </row>
    <row r="10" spans="1:69" outlineLevel="1">
      <c r="A10" s="18"/>
      <c r="B10" s="18"/>
      <c r="C10" s="28"/>
      <c r="D10" s="27"/>
      <c r="E10" s="4" t="str">
        <f xml:space="preserve">  Financials!E$18</f>
        <v>Supplier Invoices</v>
      </c>
      <c r="F10" s="4">
        <f xml:space="preserve">  Financials!F$18</f>
        <v>0</v>
      </c>
      <c r="G10" s="4" t="str">
        <f xml:space="preserve">  Financials!G$18</f>
        <v>GBP</v>
      </c>
      <c r="H10" s="4">
        <f ca="1" xml:space="preserve">  Financials!H$18</f>
        <v>57750000</v>
      </c>
      <c r="I10" s="4">
        <f xml:space="preserve">  Financials!I$18</f>
        <v>0</v>
      </c>
      <c r="J10" s="4">
        <f xml:space="preserve">  Financials!J$18</f>
        <v>0</v>
      </c>
      <c r="K10" s="4">
        <f xml:space="preserve">  Financials!K$18</f>
        <v>0</v>
      </c>
      <c r="L10" s="4">
        <f xml:space="preserve">  Financials!L$18</f>
        <v>350000</v>
      </c>
      <c r="M10" s="4">
        <f xml:space="preserve">  Financials!M$18</f>
        <v>350000</v>
      </c>
      <c r="N10" s="4">
        <f xml:space="preserve">  Financials!N$18</f>
        <v>350000</v>
      </c>
      <c r="O10" s="4">
        <f xml:space="preserve">  Financials!O$18</f>
        <v>0</v>
      </c>
      <c r="P10" s="4">
        <f xml:space="preserve">  Financials!P$18</f>
        <v>350000</v>
      </c>
      <c r="Q10" s="4">
        <f xml:space="preserve">  Financials!Q$18</f>
        <v>0</v>
      </c>
      <c r="R10" s="4">
        <f xml:space="preserve">  Financials!R$18</f>
        <v>350000</v>
      </c>
      <c r="S10" s="4">
        <f xml:space="preserve">  Financials!S$18</f>
        <v>0</v>
      </c>
      <c r="T10" s="4">
        <f xml:space="preserve">  Financials!T$18</f>
        <v>0</v>
      </c>
      <c r="U10" s="4">
        <f xml:space="preserve">  Financials!U$18</f>
        <v>0</v>
      </c>
      <c r="V10" s="4">
        <f ca="1" xml:space="preserve">  Financials!V$18</f>
        <v>0</v>
      </c>
      <c r="W10" s="4">
        <f ca="1" xml:space="preserve">  Financials!W$18</f>
        <v>0</v>
      </c>
      <c r="X10" s="4">
        <f ca="1" xml:space="preserve">  Financials!X$18</f>
        <v>175000</v>
      </c>
      <c r="Y10" s="4">
        <f ca="1" xml:space="preserve">  Financials!Y$18</f>
        <v>175000</v>
      </c>
      <c r="Z10" s="4">
        <f ca="1" xml:space="preserve">  Financials!Z$18</f>
        <v>175000</v>
      </c>
      <c r="AA10" s="4">
        <f ca="1" xml:space="preserve">  Financials!AA$18</f>
        <v>350000</v>
      </c>
      <c r="AB10" s="4">
        <f ca="1" xml:space="preserve">  Financials!AB$18</f>
        <v>175000</v>
      </c>
      <c r="AC10" s="4">
        <f ca="1" xml:space="preserve">  Financials!AC$18</f>
        <v>350000</v>
      </c>
      <c r="AD10" s="4">
        <f ca="1" xml:space="preserve">  Financials!AD$18</f>
        <v>175000</v>
      </c>
      <c r="AE10" s="4">
        <f ca="1" xml:space="preserve">  Financials!AE$18</f>
        <v>350000</v>
      </c>
      <c r="AF10" s="4">
        <f ca="1" xml:space="preserve">  Financials!AF$18</f>
        <v>350000</v>
      </c>
      <c r="AG10" s="4">
        <f ca="1" xml:space="preserve">  Financials!AG$18</f>
        <v>350000</v>
      </c>
      <c r="AH10" s="4">
        <f ca="1" xml:space="preserve">  Financials!AH$18</f>
        <v>350000</v>
      </c>
      <c r="AI10" s="4">
        <f ca="1" xml:space="preserve">  Financials!AI$18</f>
        <v>525000</v>
      </c>
      <c r="AJ10" s="4">
        <f ca="1" xml:space="preserve">  Financials!AJ$18</f>
        <v>350000</v>
      </c>
      <c r="AK10" s="4">
        <f ca="1" xml:space="preserve">  Financials!AK$18</f>
        <v>525000</v>
      </c>
      <c r="AL10" s="4">
        <f ca="1" xml:space="preserve">  Financials!AL$18</f>
        <v>525000</v>
      </c>
      <c r="AM10" s="4">
        <f ca="1" xml:space="preserve">  Financials!AM$18</f>
        <v>700000</v>
      </c>
      <c r="AN10" s="4">
        <f ca="1" xml:space="preserve">  Financials!AN$18</f>
        <v>525000</v>
      </c>
      <c r="AO10" s="4">
        <f ca="1" xml:space="preserve">  Financials!AO$18</f>
        <v>700000</v>
      </c>
      <c r="AP10" s="4">
        <f ca="1" xml:space="preserve">  Financials!AP$18</f>
        <v>875000</v>
      </c>
      <c r="AQ10" s="4">
        <f ca="1" xml:space="preserve">  Financials!AQ$18</f>
        <v>700000</v>
      </c>
      <c r="AR10" s="4">
        <f ca="1" xml:space="preserve">  Financials!AR$18</f>
        <v>875000</v>
      </c>
      <c r="AS10" s="4">
        <f ca="1" xml:space="preserve">  Financials!AS$18</f>
        <v>875000</v>
      </c>
      <c r="AT10" s="4">
        <f ca="1" xml:space="preserve">  Financials!AT$18</f>
        <v>875000</v>
      </c>
      <c r="AU10" s="4">
        <f ca="1" xml:space="preserve">  Financials!AU$18</f>
        <v>875000</v>
      </c>
      <c r="AV10" s="4">
        <f ca="1" xml:space="preserve">  Financials!AV$18</f>
        <v>1050000</v>
      </c>
      <c r="AW10" s="4">
        <f ca="1" xml:space="preserve">  Financials!AW$18</f>
        <v>1050000</v>
      </c>
      <c r="AX10" s="4">
        <f ca="1" xml:space="preserve">  Financials!AX$18</f>
        <v>1225000</v>
      </c>
      <c r="AY10" s="4">
        <f ca="1" xml:space="preserve">  Financials!AY$18</f>
        <v>1225000</v>
      </c>
      <c r="AZ10" s="4">
        <f ca="1" xml:space="preserve">  Financials!AZ$18</f>
        <v>1225000</v>
      </c>
      <c r="BA10" s="4">
        <f ca="1" xml:space="preserve">  Financials!BA$18</f>
        <v>1400000</v>
      </c>
      <c r="BB10" s="4">
        <f ca="1" xml:space="preserve">  Financials!BB$18</f>
        <v>1400000</v>
      </c>
      <c r="BC10" s="4">
        <f ca="1" xml:space="preserve">  Financials!BC$18</f>
        <v>1575000</v>
      </c>
      <c r="BD10" s="4">
        <f ca="1" xml:space="preserve">  Financials!BD$18</f>
        <v>1575000</v>
      </c>
      <c r="BE10" s="4">
        <f ca="1" xml:space="preserve">  Financials!BE$18</f>
        <v>1750000</v>
      </c>
      <c r="BF10" s="4">
        <f ca="1" xml:space="preserve">  Financials!BF$18</f>
        <v>1750000</v>
      </c>
      <c r="BG10" s="4">
        <f ca="1" xml:space="preserve">  Financials!BG$18</f>
        <v>1925000</v>
      </c>
      <c r="BH10" s="4">
        <f ca="1" xml:space="preserve">  Financials!BH$18</f>
        <v>2100000</v>
      </c>
      <c r="BI10" s="4">
        <f ca="1" xml:space="preserve">  Financials!BI$18</f>
        <v>2100000</v>
      </c>
      <c r="BJ10" s="4">
        <f ca="1" xml:space="preserve">  Financials!BJ$18</f>
        <v>2275000</v>
      </c>
      <c r="BK10" s="4">
        <f ca="1" xml:space="preserve">  Financials!BK$18</f>
        <v>2450000</v>
      </c>
      <c r="BL10" s="4">
        <f ca="1" xml:space="preserve">  Financials!BL$18</f>
        <v>2625000</v>
      </c>
      <c r="BM10" s="4">
        <f ca="1" xml:space="preserve">  Financials!BM$18</f>
        <v>2625000</v>
      </c>
      <c r="BN10" s="4">
        <f ca="1" xml:space="preserve">  Financials!BN$18</f>
        <v>2975000</v>
      </c>
      <c r="BO10" s="4">
        <f ca="1" xml:space="preserve">  Financials!BO$18</f>
        <v>2975000</v>
      </c>
      <c r="BP10" s="4">
        <f ca="1" xml:space="preserve">  Financials!BP$18</f>
        <v>3325000</v>
      </c>
      <c r="BQ10" s="4">
        <f ca="1" xml:space="preserve">  Financials!BQ$18</f>
        <v>3500000</v>
      </c>
    </row>
    <row r="11" spans="1:69" outlineLevel="1">
      <c r="A11" s="34"/>
      <c r="B11" s="34"/>
      <c r="C11" s="64"/>
      <c r="D11" s="65"/>
      <c r="E11" s="21" t="s">
        <v>198</v>
      </c>
      <c r="F11" s="21"/>
      <c r="G11" s="21" t="s">
        <v>257</v>
      </c>
      <c r="H11" s="3">
        <f ca="1" xml:space="preserve"> SUM( J11:BQ11 )</f>
        <v>11550000</v>
      </c>
      <c r="I11" s="21"/>
      <c r="J11" s="3">
        <f t="shared" ref="J11:BQ11" si="0" xml:space="preserve">  ( J10 * $F9 )</f>
        <v>0</v>
      </c>
      <c r="K11" s="3">
        <f t="shared" si="0"/>
        <v>0</v>
      </c>
      <c r="L11" s="3">
        <f t="shared" si="0"/>
        <v>70000</v>
      </c>
      <c r="M11" s="3">
        <f t="shared" si="0"/>
        <v>70000</v>
      </c>
      <c r="N11" s="3">
        <f t="shared" si="0"/>
        <v>70000</v>
      </c>
      <c r="O11" s="3">
        <f t="shared" si="0"/>
        <v>0</v>
      </c>
      <c r="P11" s="3">
        <f t="shared" si="0"/>
        <v>70000</v>
      </c>
      <c r="Q11" s="3">
        <f t="shared" si="0"/>
        <v>0</v>
      </c>
      <c r="R11" s="3">
        <f t="shared" si="0"/>
        <v>70000</v>
      </c>
      <c r="S11" s="3">
        <f t="shared" si="0"/>
        <v>0</v>
      </c>
      <c r="T11" s="3">
        <f t="shared" si="0"/>
        <v>0</v>
      </c>
      <c r="U11" s="3">
        <f t="shared" si="0"/>
        <v>0</v>
      </c>
      <c r="V11" s="3">
        <f t="shared" ca="1" si="0"/>
        <v>0</v>
      </c>
      <c r="W11" s="3">
        <f t="shared" ca="1" si="0"/>
        <v>0</v>
      </c>
      <c r="X11" s="3">
        <f t="shared" ca="1" si="0"/>
        <v>35000</v>
      </c>
      <c r="Y11" s="3">
        <f t="shared" ca="1" si="0"/>
        <v>35000</v>
      </c>
      <c r="Z11" s="3">
        <f t="shared" ca="1" si="0"/>
        <v>35000</v>
      </c>
      <c r="AA11" s="3">
        <f t="shared" ca="1" si="0"/>
        <v>70000</v>
      </c>
      <c r="AB11" s="3">
        <f t="shared" ca="1" si="0"/>
        <v>35000</v>
      </c>
      <c r="AC11" s="3">
        <f t="shared" ca="1" si="0"/>
        <v>70000</v>
      </c>
      <c r="AD11" s="3">
        <f t="shared" ca="1" si="0"/>
        <v>35000</v>
      </c>
      <c r="AE11" s="3">
        <f t="shared" ca="1" si="0"/>
        <v>70000</v>
      </c>
      <c r="AF11" s="3">
        <f t="shared" ca="1" si="0"/>
        <v>70000</v>
      </c>
      <c r="AG11" s="3">
        <f t="shared" ca="1" si="0"/>
        <v>70000</v>
      </c>
      <c r="AH11" s="3">
        <f t="shared" ca="1" si="0"/>
        <v>70000</v>
      </c>
      <c r="AI11" s="3">
        <f t="shared" ca="1" si="0"/>
        <v>105000</v>
      </c>
      <c r="AJ11" s="3">
        <f t="shared" ca="1" si="0"/>
        <v>70000</v>
      </c>
      <c r="AK11" s="3">
        <f t="shared" ca="1" si="0"/>
        <v>105000</v>
      </c>
      <c r="AL11" s="3">
        <f t="shared" ca="1" si="0"/>
        <v>105000</v>
      </c>
      <c r="AM11" s="3">
        <f t="shared" ca="1" si="0"/>
        <v>140000</v>
      </c>
      <c r="AN11" s="3">
        <f t="shared" ca="1" si="0"/>
        <v>105000</v>
      </c>
      <c r="AO11" s="3">
        <f t="shared" ca="1" si="0"/>
        <v>140000</v>
      </c>
      <c r="AP11" s="3">
        <f t="shared" ca="1" si="0"/>
        <v>175000</v>
      </c>
      <c r="AQ11" s="3">
        <f t="shared" ca="1" si="0"/>
        <v>140000</v>
      </c>
      <c r="AR11" s="3">
        <f t="shared" ca="1" si="0"/>
        <v>175000</v>
      </c>
      <c r="AS11" s="3">
        <f t="shared" ca="1" si="0"/>
        <v>175000</v>
      </c>
      <c r="AT11" s="3">
        <f t="shared" ca="1" si="0"/>
        <v>175000</v>
      </c>
      <c r="AU11" s="3">
        <f t="shared" ca="1" si="0"/>
        <v>175000</v>
      </c>
      <c r="AV11" s="3">
        <f t="shared" ca="1" si="0"/>
        <v>210000</v>
      </c>
      <c r="AW11" s="3">
        <f t="shared" ca="1" si="0"/>
        <v>210000</v>
      </c>
      <c r="AX11" s="3">
        <f t="shared" ca="1" si="0"/>
        <v>245000</v>
      </c>
      <c r="AY11" s="3">
        <f t="shared" ca="1" si="0"/>
        <v>245000</v>
      </c>
      <c r="AZ11" s="3">
        <f t="shared" ca="1" si="0"/>
        <v>245000</v>
      </c>
      <c r="BA11" s="3">
        <f t="shared" ca="1" si="0"/>
        <v>280000</v>
      </c>
      <c r="BB11" s="3">
        <f t="shared" ca="1" si="0"/>
        <v>280000</v>
      </c>
      <c r="BC11" s="3">
        <f t="shared" ca="1" si="0"/>
        <v>315000</v>
      </c>
      <c r="BD11" s="3">
        <f t="shared" ca="1" si="0"/>
        <v>315000</v>
      </c>
      <c r="BE11" s="3">
        <f t="shared" ca="1" si="0"/>
        <v>350000</v>
      </c>
      <c r="BF11" s="3">
        <f t="shared" ca="1" si="0"/>
        <v>350000</v>
      </c>
      <c r="BG11" s="3">
        <f t="shared" ca="1" si="0"/>
        <v>385000</v>
      </c>
      <c r="BH11" s="3">
        <f t="shared" ca="1" si="0"/>
        <v>420000</v>
      </c>
      <c r="BI11" s="3">
        <f t="shared" ca="1" si="0"/>
        <v>420000</v>
      </c>
      <c r="BJ11" s="3">
        <f t="shared" ca="1" si="0"/>
        <v>455000</v>
      </c>
      <c r="BK11" s="3">
        <f t="shared" ca="1" si="0"/>
        <v>490000</v>
      </c>
      <c r="BL11" s="3">
        <f t="shared" ca="1" si="0"/>
        <v>525000</v>
      </c>
      <c r="BM11" s="3">
        <f t="shared" ca="1" si="0"/>
        <v>525000</v>
      </c>
      <c r="BN11" s="3">
        <f t="shared" ca="1" si="0"/>
        <v>595000</v>
      </c>
      <c r="BO11" s="3">
        <f t="shared" ca="1" si="0"/>
        <v>595000</v>
      </c>
      <c r="BP11" s="3">
        <f t="shared" ca="1" si="0"/>
        <v>665000</v>
      </c>
      <c r="BQ11" s="3">
        <f t="shared" ca="1" si="0"/>
        <v>700000</v>
      </c>
    </row>
    <row r="14" spans="1:69">
      <c r="B14" s="25" t="s">
        <v>244</v>
      </c>
    </row>
    <row r="15" spans="1:69" outlineLevel="1">
      <c r="A15" s="18"/>
      <c r="B15" s="18"/>
      <c r="C15" s="28"/>
      <c r="D15" s="27"/>
      <c r="E15" s="4" t="str">
        <f xml:space="preserve">  InpC!E$22</f>
        <v>Contract Length</v>
      </c>
      <c r="F15" s="4">
        <f xml:space="preserve">  InpC!F$22</f>
        <v>24</v>
      </c>
      <c r="G15" s="4" t="str">
        <f xml:space="preserve">  InpC!G$22</f>
        <v>Months</v>
      </c>
      <c r="M15" s="2"/>
    </row>
    <row r="16" spans="1:69" outlineLevel="1">
      <c r="A16" s="18"/>
      <c r="B16" s="18"/>
      <c r="C16" s="28"/>
      <c r="D16" s="27"/>
      <c r="E16" s="4" t="str">
        <f xml:space="preserve">  Customers!E$14</f>
        <v>New customer orders</v>
      </c>
      <c r="F16" s="4">
        <f xml:space="preserve">  Customers!F$14</f>
        <v>0</v>
      </c>
      <c r="G16" s="4" t="str">
        <f xml:space="preserve">  Customers!G$14</f>
        <v>Units</v>
      </c>
      <c r="H16" s="4">
        <f xml:space="preserve">  Customers!H$14</f>
        <v>1374286.5308829343</v>
      </c>
      <c r="I16" s="4">
        <f xml:space="preserve">  Customers!I$14</f>
        <v>0</v>
      </c>
      <c r="J16" s="4">
        <f xml:space="preserve">  Customers!J$14</f>
        <v>1000</v>
      </c>
      <c r="K16" s="4">
        <f xml:space="preserve">  Customers!K$14</f>
        <v>1000</v>
      </c>
      <c r="L16" s="4">
        <f xml:space="preserve">  Customers!L$14</f>
        <v>1000</v>
      </c>
      <c r="M16" s="4">
        <f xml:space="preserve">  Customers!M$14</f>
        <v>1000</v>
      </c>
      <c r="N16" s="4">
        <f xml:space="preserve">  Customers!N$14</f>
        <v>3000</v>
      </c>
      <c r="O16" s="4">
        <f xml:space="preserve">  Customers!O$14</f>
        <v>3000</v>
      </c>
      <c r="P16" s="4">
        <f xml:space="preserve">  Customers!P$14</f>
        <v>3000</v>
      </c>
      <c r="Q16" s="4">
        <f xml:space="preserve">  Customers!Q$14</f>
        <v>5000</v>
      </c>
      <c r="R16" s="4">
        <f xml:space="preserve">  Customers!R$14</f>
        <v>5000</v>
      </c>
      <c r="S16" s="4">
        <f xml:space="preserve">  Customers!S$14</f>
        <v>5000</v>
      </c>
      <c r="T16" s="4">
        <f xml:space="preserve">  Customers!T$14</f>
        <v>5000</v>
      </c>
      <c r="U16" s="4">
        <f xml:space="preserve">  Customers!U$14</f>
        <v>5000</v>
      </c>
      <c r="V16" s="4">
        <f xml:space="preserve">  Customers!V$14</f>
        <v>5297.3154717964762</v>
      </c>
      <c r="W16" s="4">
        <f xml:space="preserve">  Customers!W$14</f>
        <v>5612.3102415468647</v>
      </c>
      <c r="X16" s="4">
        <f xml:space="preserve">  Customers!X$14</f>
        <v>5946.035575013605</v>
      </c>
      <c r="Y16" s="4">
        <f xml:space="preserve">  Customers!Y$14</f>
        <v>6299.6052494743653</v>
      </c>
      <c r="Z16" s="4">
        <f xml:space="preserve">  Customers!Z$14</f>
        <v>6674.1992708501712</v>
      </c>
      <c r="AA16" s="4">
        <f xml:space="preserve">  Customers!AA$14</f>
        <v>7071.0678118654751</v>
      </c>
      <c r="AB16" s="4">
        <f xml:space="preserve">  Customers!AB$14</f>
        <v>7491.5353843834073</v>
      </c>
      <c r="AC16" s="4">
        <f xml:space="preserve">  Customers!AC$14</f>
        <v>7937.0052598409975</v>
      </c>
      <c r="AD16" s="4">
        <f xml:space="preserve">  Customers!AD$14</f>
        <v>8408.9641525371462</v>
      </c>
      <c r="AE16" s="4">
        <f xml:space="preserve">  Customers!AE$14</f>
        <v>8908.9871814033941</v>
      </c>
      <c r="AF16" s="4">
        <f xml:space="preserve">  Customers!AF$14</f>
        <v>9438.7431268169366</v>
      </c>
      <c r="AG16" s="4">
        <f xml:space="preserve">  Customers!AG$14</f>
        <v>10000.000000000002</v>
      </c>
      <c r="AH16" s="4">
        <f xml:space="preserve">  Customers!AH$14</f>
        <v>10594.630943592954</v>
      </c>
      <c r="AI16" s="4">
        <f xml:space="preserve">  Customers!AI$14</f>
        <v>11224.620483093731</v>
      </c>
      <c r="AJ16" s="4">
        <f xml:space="preserve">  Customers!AJ$14</f>
        <v>11892.071150027214</v>
      </c>
      <c r="AK16" s="4">
        <f xml:space="preserve">  Customers!AK$14</f>
        <v>12599.210498948736</v>
      </c>
      <c r="AL16" s="4">
        <f xml:space="preserve">  Customers!AL$14</f>
        <v>13348.39854170035</v>
      </c>
      <c r="AM16" s="4">
        <f xml:space="preserve">  Customers!AM$14</f>
        <v>14142.135623730957</v>
      </c>
      <c r="AN16" s="4">
        <f xml:space="preserve">  Customers!AN$14</f>
        <v>14983.070768766824</v>
      </c>
      <c r="AO16" s="4">
        <f xml:space="preserve">  Customers!AO$14</f>
        <v>15874.010519682004</v>
      </c>
      <c r="AP16" s="4">
        <f xml:space="preserve">  Customers!AP$14</f>
        <v>16817.9283050743</v>
      </c>
      <c r="AQ16" s="4">
        <f xml:space="preserve">  Customers!AQ$14</f>
        <v>17817.974362806795</v>
      </c>
      <c r="AR16" s="4">
        <f xml:space="preserve">  Customers!AR$14</f>
        <v>18877.486253633881</v>
      </c>
      <c r="AS16" s="4">
        <f xml:space="preserve">  Customers!AS$14</f>
        <v>20000.000000000011</v>
      </c>
      <c r="AT16" s="4">
        <f xml:space="preserve">  Customers!AT$14</f>
        <v>21189.261887185919</v>
      </c>
      <c r="AU16" s="4">
        <f xml:space="preserve">  Customers!AU$14</f>
        <v>22449.240966187477</v>
      </c>
      <c r="AV16" s="4">
        <f xml:space="preserve">  Customers!AV$14</f>
        <v>23784.142300054442</v>
      </c>
      <c r="AW16" s="4">
        <f xml:space="preserve">  Customers!AW$14</f>
        <v>25198.420997897487</v>
      </c>
      <c r="AX16" s="4">
        <f xml:space="preserve">  Customers!AX$14</f>
        <v>26696.797083400714</v>
      </c>
      <c r="AY16" s="4">
        <f xml:space="preserve">  Customers!AY$14</f>
        <v>28284.271247461929</v>
      </c>
      <c r="AZ16" s="4">
        <f xml:space="preserve">  Customers!AZ$14</f>
        <v>29966.141537533662</v>
      </c>
      <c r="BA16" s="4">
        <f xml:space="preserve">  Customers!BA$14</f>
        <v>31748.021039364026</v>
      </c>
      <c r="BB16" s="4">
        <f xml:space="preserve">  Customers!BB$14</f>
        <v>33635.856610148621</v>
      </c>
      <c r="BC16" s="4">
        <f xml:space="preserve">  Customers!BC$14</f>
        <v>35635.948725613613</v>
      </c>
      <c r="BD16" s="4">
        <f xml:space="preserve">  Customers!BD$14</f>
        <v>37754.972507267783</v>
      </c>
      <c r="BE16" s="4">
        <f xml:space="preserve">  Customers!BE$14</f>
        <v>40000.000000000051</v>
      </c>
      <c r="BF16" s="4">
        <f xml:space="preserve">  Customers!BF$14</f>
        <v>42378.523774371868</v>
      </c>
      <c r="BG16" s="4">
        <f xml:space="preserve">  Customers!BG$14</f>
        <v>44898.481932374983</v>
      </c>
      <c r="BH16" s="4">
        <f xml:space="preserve">  Customers!BH$14</f>
        <v>47568.284600108913</v>
      </c>
      <c r="BI16" s="4">
        <f xml:space="preserve">  Customers!BI$14</f>
        <v>50396.841995795003</v>
      </c>
      <c r="BJ16" s="4">
        <f xml:space="preserve">  Customers!BJ$14</f>
        <v>53393.594166801457</v>
      </c>
      <c r="BK16" s="4">
        <f xml:space="preserve">  Customers!BK$14</f>
        <v>56568.542494923888</v>
      </c>
      <c r="BL16" s="4">
        <f xml:space="preserve">  Customers!BL$14</f>
        <v>59932.283075067353</v>
      </c>
      <c r="BM16" s="4">
        <f xml:space="preserve">  Customers!BM$14</f>
        <v>63496.042078728082</v>
      </c>
      <c r="BN16" s="4">
        <f xml:space="preserve">  Customers!BN$14</f>
        <v>67271.713220297272</v>
      </c>
      <c r="BO16" s="4">
        <f xml:space="preserve">  Customers!BO$14</f>
        <v>71271.897451227269</v>
      </c>
      <c r="BP16" s="4">
        <f xml:space="preserve">  Customers!BP$14</f>
        <v>75509.94501453561</v>
      </c>
      <c r="BQ16" s="4">
        <f xml:space="preserve">  Customers!BQ$14</f>
        <v>80000.000000000146</v>
      </c>
    </row>
    <row r="17" spans="1:69" outlineLevel="1">
      <c r="A17" s="18"/>
      <c r="B17" s="18"/>
      <c r="C17" s="28"/>
      <c r="D17" s="27"/>
      <c r="E17" s="4" t="str">
        <f xml:space="preserve">  Customers!E$35</f>
        <v>Renewing Customer Orders</v>
      </c>
      <c r="F17" s="4">
        <f xml:space="preserve">  Customers!F$35</f>
        <v>0</v>
      </c>
      <c r="G17" s="4" t="str">
        <f xml:space="preserve">  Customers!G$35</f>
        <v>Units</v>
      </c>
      <c r="H17" s="4">
        <f ca="1" xml:space="preserve">  Customers!H$35</f>
        <v>274731.57555892796</v>
      </c>
      <c r="I17" s="4">
        <f xml:space="preserve">  Customers!I$35</f>
        <v>0</v>
      </c>
      <c r="J17" s="4">
        <f ca="1" xml:space="preserve">  Customers!J$35</f>
        <v>0</v>
      </c>
      <c r="K17" s="4">
        <f ca="1" xml:space="preserve">  Customers!K$35</f>
        <v>0</v>
      </c>
      <c r="L17" s="4">
        <f ca="1" xml:space="preserve">  Customers!L$35</f>
        <v>0</v>
      </c>
      <c r="M17" s="4">
        <f ca="1" xml:space="preserve">  Customers!M$35</f>
        <v>0</v>
      </c>
      <c r="N17" s="4">
        <f ca="1" xml:space="preserve">  Customers!N$35</f>
        <v>0</v>
      </c>
      <c r="O17" s="4">
        <f ca="1" xml:space="preserve">  Customers!O$35</f>
        <v>0</v>
      </c>
      <c r="P17" s="4">
        <f ca="1" xml:space="preserve">  Customers!P$35</f>
        <v>0</v>
      </c>
      <c r="Q17" s="4">
        <f ca="1" xml:space="preserve">  Customers!Q$35</f>
        <v>0</v>
      </c>
      <c r="R17" s="4">
        <f ca="1" xml:space="preserve">  Customers!R$35</f>
        <v>0</v>
      </c>
      <c r="S17" s="4">
        <f ca="1" xml:space="preserve">  Customers!S$35</f>
        <v>0</v>
      </c>
      <c r="T17" s="4">
        <f ca="1" xml:space="preserve">  Customers!T$35</f>
        <v>0</v>
      </c>
      <c r="U17" s="4">
        <f ca="1" xml:space="preserve">  Customers!U$35</f>
        <v>0</v>
      </c>
      <c r="V17" s="4">
        <f ca="1" xml:space="preserve">  Customers!V$35</f>
        <v>0</v>
      </c>
      <c r="W17" s="4">
        <f ca="1" xml:space="preserve">  Customers!W$35</f>
        <v>0</v>
      </c>
      <c r="X17" s="4">
        <f ca="1" xml:space="preserve">  Customers!X$35</f>
        <v>0</v>
      </c>
      <c r="Y17" s="4">
        <f ca="1" xml:space="preserve">  Customers!Y$35</f>
        <v>0</v>
      </c>
      <c r="Z17" s="4">
        <f ca="1" xml:space="preserve">  Customers!Z$35</f>
        <v>0</v>
      </c>
      <c r="AA17" s="4">
        <f ca="1" xml:space="preserve">  Customers!AA$35</f>
        <v>0</v>
      </c>
      <c r="AB17" s="4">
        <f ca="1" xml:space="preserve">  Customers!AB$35</f>
        <v>0</v>
      </c>
      <c r="AC17" s="4">
        <f ca="1" xml:space="preserve">  Customers!AC$35</f>
        <v>0</v>
      </c>
      <c r="AD17" s="4">
        <f ca="1" xml:space="preserve">  Customers!AD$35</f>
        <v>0</v>
      </c>
      <c r="AE17" s="4">
        <f ca="1" xml:space="preserve">  Customers!AE$35</f>
        <v>0</v>
      </c>
      <c r="AF17" s="4">
        <f ca="1" xml:space="preserve">  Customers!AF$35</f>
        <v>0</v>
      </c>
      <c r="AG17" s="4">
        <f ca="1" xml:space="preserve">  Customers!AG$35</f>
        <v>0</v>
      </c>
      <c r="AH17" s="4">
        <f ca="1" xml:space="preserve">  Customers!AH$35</f>
        <v>900</v>
      </c>
      <c r="AI17" s="4">
        <f ca="1" xml:space="preserve">  Customers!AI$35</f>
        <v>900</v>
      </c>
      <c r="AJ17" s="4">
        <f ca="1" xml:space="preserve">  Customers!AJ$35</f>
        <v>900</v>
      </c>
      <c r="AK17" s="4">
        <f ca="1" xml:space="preserve">  Customers!AK$35</f>
        <v>900</v>
      </c>
      <c r="AL17" s="4">
        <f ca="1" xml:space="preserve">  Customers!AL$35</f>
        <v>2700</v>
      </c>
      <c r="AM17" s="4">
        <f ca="1" xml:space="preserve">  Customers!AM$35</f>
        <v>2700</v>
      </c>
      <c r="AN17" s="4">
        <f ca="1" xml:space="preserve">  Customers!AN$35</f>
        <v>2700</v>
      </c>
      <c r="AO17" s="4">
        <f ca="1" xml:space="preserve">  Customers!AO$35</f>
        <v>4500</v>
      </c>
      <c r="AP17" s="4">
        <f ca="1" xml:space="preserve">  Customers!AP$35</f>
        <v>4500</v>
      </c>
      <c r="AQ17" s="4">
        <f ca="1" xml:space="preserve">  Customers!AQ$35</f>
        <v>4500</v>
      </c>
      <c r="AR17" s="4">
        <f ca="1" xml:space="preserve">  Customers!AR$35</f>
        <v>4500</v>
      </c>
      <c r="AS17" s="4">
        <f ca="1" xml:space="preserve">  Customers!AS$35</f>
        <v>4500</v>
      </c>
      <c r="AT17" s="4">
        <f ca="1" xml:space="preserve">  Customers!AT$35</f>
        <v>4767.5839246168289</v>
      </c>
      <c r="AU17" s="4">
        <f ca="1" xml:space="preserve">  Customers!AU$35</f>
        <v>5051.0792173921782</v>
      </c>
      <c r="AV17" s="4">
        <f ca="1" xml:space="preserve">  Customers!AV$35</f>
        <v>5351.4320175122448</v>
      </c>
      <c r="AW17" s="4">
        <f ca="1" xml:space="preserve">  Customers!AW$35</f>
        <v>5669.6447245269292</v>
      </c>
      <c r="AX17" s="4">
        <f ca="1" xml:space="preserve">  Customers!AX$35</f>
        <v>6006.7793437651544</v>
      </c>
      <c r="AY17" s="4">
        <f ca="1" xml:space="preserve">  Customers!AY$35</f>
        <v>6363.9610306789273</v>
      </c>
      <c r="AZ17" s="4">
        <f ca="1" xml:space="preserve">  Customers!AZ$35</f>
        <v>6742.3818459450667</v>
      </c>
      <c r="BA17" s="4">
        <f ca="1" xml:space="preserve">  Customers!BA$35</f>
        <v>7143.3047338568977</v>
      </c>
      <c r="BB17" s="4">
        <f ca="1" xml:space="preserve">  Customers!BB$35</f>
        <v>7568.0677372834316</v>
      </c>
      <c r="BC17" s="4">
        <f ca="1" xml:space="preserve">  Customers!BC$35</f>
        <v>8018.088463263055</v>
      </c>
      <c r="BD17" s="4">
        <f ca="1" xml:space="preserve">  Customers!BD$35</f>
        <v>8494.8688141352432</v>
      </c>
      <c r="BE17" s="4">
        <f ca="1" xml:space="preserve">  Customers!BE$35</f>
        <v>9000.0000000000018</v>
      </c>
      <c r="BF17" s="4">
        <f ca="1" xml:space="preserve">  Customers!BF$35</f>
        <v>9535.1678492336596</v>
      </c>
      <c r="BG17" s="4">
        <f ca="1" xml:space="preserve">  Customers!BG$35</f>
        <v>10102.158434784358</v>
      </c>
      <c r="BH17" s="4">
        <f ca="1" xml:space="preserve">  Customers!BH$35</f>
        <v>10702.864035024493</v>
      </c>
      <c r="BI17" s="4">
        <f ca="1" xml:space="preserve">  Customers!BI$35</f>
        <v>11339.289449053862</v>
      </c>
      <c r="BJ17" s="4">
        <f ca="1" xml:space="preserve">  Customers!BJ$35</f>
        <v>12013.558687530314</v>
      </c>
      <c r="BK17" s="4">
        <f ca="1" xml:space="preserve">  Customers!BK$35</f>
        <v>12727.922061357862</v>
      </c>
      <c r="BL17" s="4">
        <f ca="1" xml:space="preserve">  Customers!BL$35</f>
        <v>13484.763691890141</v>
      </c>
      <c r="BM17" s="4">
        <f ca="1" xml:space="preserve">  Customers!BM$35</f>
        <v>14286.609467713804</v>
      </c>
      <c r="BN17" s="4">
        <f ca="1" xml:space="preserve">  Customers!BN$35</f>
        <v>15136.13547456687</v>
      </c>
      <c r="BO17" s="4">
        <f ca="1" xml:space="preserve">  Customers!BO$35</f>
        <v>16036.176926526115</v>
      </c>
      <c r="BP17" s="4">
        <f ca="1" xml:space="preserve">  Customers!BP$35</f>
        <v>16989.737628270494</v>
      </c>
      <c r="BQ17" s="4">
        <f ca="1" xml:space="preserve">  Customers!BQ$35</f>
        <v>18000.000000000011</v>
      </c>
    </row>
    <row r="18" spans="1:69" outlineLevel="1">
      <c r="A18" s="34"/>
      <c r="B18" s="34"/>
      <c r="C18" s="64"/>
      <c r="D18" s="65"/>
      <c r="E18" s="21" t="s">
        <v>244</v>
      </c>
      <c r="F18" s="21"/>
      <c r="G18" s="21" t="s">
        <v>122</v>
      </c>
      <c r="H18" s="3">
        <f ca="1" xml:space="preserve"> SUM( J18:BQ18 )</f>
        <v>339457.30617658654</v>
      </c>
      <c r="I18" s="21"/>
      <c r="J18" s="3">
        <f ca="1" xml:space="preserve">  IF( Time!J28 &lt; 1 + $F15, 0, OFFSET( J16, 0, - 1 * ( $F15 ) ) ) + IF( Time!J28 &lt; 1 + $F15, 0, OFFSET( J17, 0, - 1 * ( $F15 ) ) )</f>
        <v>0</v>
      </c>
      <c r="K18" s="3">
        <f ca="1" xml:space="preserve">  IF( Time!K28 &lt; 1 + $F15, 0, OFFSET( K16, 0, - 1 * ( $F15 ) ) ) + IF( Time!K28 &lt; 1 + $F15, 0, OFFSET( K17, 0, - 1 * ( $F15 ) ) )</f>
        <v>0</v>
      </c>
      <c r="L18" s="3">
        <f ca="1" xml:space="preserve">  IF( Time!L28 &lt; 1 + $F15, 0, OFFSET( L16, 0, - 1 * ( $F15 ) ) ) + IF( Time!L28 &lt; 1 + $F15, 0, OFFSET( L17, 0, - 1 * ( $F15 ) ) )</f>
        <v>0</v>
      </c>
      <c r="M18" s="3">
        <f ca="1" xml:space="preserve">  IF( Time!M28 &lt; 1 + $F15, 0, OFFSET( M16, 0, - 1 * ( $F15 ) ) ) + IF( Time!M28 &lt; 1 + $F15, 0, OFFSET( M17, 0, - 1 * ( $F15 ) ) )</f>
        <v>0</v>
      </c>
      <c r="N18" s="3">
        <f ca="1" xml:space="preserve">  IF( Time!N28 &lt; 1 + $F15, 0, OFFSET( N16, 0, - 1 * ( $F15 ) ) ) + IF( Time!N28 &lt; 1 + $F15, 0, OFFSET( N17, 0, - 1 * ( $F15 ) ) )</f>
        <v>0</v>
      </c>
      <c r="O18" s="3">
        <f ca="1" xml:space="preserve">  IF( Time!O28 &lt; 1 + $F15, 0, OFFSET( O16, 0, - 1 * ( $F15 ) ) ) + IF( Time!O28 &lt; 1 + $F15, 0, OFFSET( O17, 0, - 1 * ( $F15 ) ) )</f>
        <v>0</v>
      </c>
      <c r="P18" s="3">
        <f ca="1" xml:space="preserve">  IF( Time!P28 &lt; 1 + $F15, 0, OFFSET( P16, 0, - 1 * ( $F15 ) ) ) + IF( Time!P28 &lt; 1 + $F15, 0, OFFSET( P17, 0, - 1 * ( $F15 ) ) )</f>
        <v>0</v>
      </c>
      <c r="Q18" s="3">
        <f ca="1" xml:space="preserve">  IF( Time!Q28 &lt; 1 + $F15, 0, OFFSET( Q16, 0, - 1 * ( $F15 ) ) ) + IF( Time!Q28 &lt; 1 + $F15, 0, OFFSET( Q17, 0, - 1 * ( $F15 ) ) )</f>
        <v>0</v>
      </c>
      <c r="R18" s="3">
        <f ca="1" xml:space="preserve">  IF( Time!R28 &lt; 1 + $F15, 0, OFFSET( R16, 0, - 1 * ( $F15 ) ) ) + IF( Time!R28 &lt; 1 + $F15, 0, OFFSET( R17, 0, - 1 * ( $F15 ) ) )</f>
        <v>0</v>
      </c>
      <c r="S18" s="3">
        <f ca="1" xml:space="preserve">  IF( Time!S28 &lt; 1 + $F15, 0, OFFSET( S16, 0, - 1 * ( $F15 ) ) ) + IF( Time!S28 &lt; 1 + $F15, 0, OFFSET( S17, 0, - 1 * ( $F15 ) ) )</f>
        <v>0</v>
      </c>
      <c r="T18" s="3">
        <f ca="1" xml:space="preserve">  IF( Time!T28 &lt; 1 + $F15, 0, OFFSET( T16, 0, - 1 * ( $F15 ) ) ) + IF( Time!T28 &lt; 1 + $F15, 0, OFFSET( T17, 0, - 1 * ( $F15 ) ) )</f>
        <v>0</v>
      </c>
      <c r="U18" s="3">
        <f ca="1" xml:space="preserve">  IF( Time!U28 &lt; 1 + $F15, 0, OFFSET( U16, 0, - 1 * ( $F15 ) ) ) + IF( Time!U28 &lt; 1 + $F15, 0, OFFSET( U17, 0, - 1 * ( $F15 ) ) )</f>
        <v>0</v>
      </c>
      <c r="V18" s="3">
        <f ca="1" xml:space="preserve">  IF( Time!V28 &lt; 1 + $F15, 0, OFFSET( V16, 0, - 1 * ( $F15 ) ) ) + IF( Time!V28 &lt; 1 + $F15, 0, OFFSET( V17, 0, - 1 * ( $F15 ) ) )</f>
        <v>0</v>
      </c>
      <c r="W18" s="3">
        <f ca="1" xml:space="preserve">  IF( Time!W28 &lt; 1 + $F15, 0, OFFSET( W16, 0, - 1 * ( $F15 ) ) ) + IF( Time!W28 &lt; 1 + $F15, 0, OFFSET( W17, 0, - 1 * ( $F15 ) ) )</f>
        <v>0</v>
      </c>
      <c r="X18" s="3">
        <f ca="1" xml:space="preserve">  IF( Time!X28 &lt; 1 + $F15, 0, OFFSET( X16, 0, - 1 * ( $F15 ) ) ) + IF( Time!X28 &lt; 1 + $F15, 0, OFFSET( X17, 0, - 1 * ( $F15 ) ) )</f>
        <v>0</v>
      </c>
      <c r="Y18" s="3">
        <f ca="1" xml:space="preserve">  IF( Time!Y28 &lt; 1 + $F15, 0, OFFSET( Y16, 0, - 1 * ( $F15 ) ) ) + IF( Time!Y28 &lt; 1 + $F15, 0, OFFSET( Y17, 0, - 1 * ( $F15 ) ) )</f>
        <v>0</v>
      </c>
      <c r="Z18" s="3">
        <f ca="1" xml:space="preserve">  IF( Time!Z28 &lt; 1 + $F15, 0, OFFSET( Z16, 0, - 1 * ( $F15 ) ) ) + IF( Time!Z28 &lt; 1 + $F15, 0, OFFSET( Z17, 0, - 1 * ( $F15 ) ) )</f>
        <v>0</v>
      </c>
      <c r="AA18" s="3">
        <f ca="1" xml:space="preserve">  IF( Time!AA28 &lt; 1 + $F15, 0, OFFSET( AA16, 0, - 1 * ( $F15 ) ) ) + IF( Time!AA28 &lt; 1 + $F15, 0, OFFSET( AA17, 0, - 1 * ( $F15 ) ) )</f>
        <v>0</v>
      </c>
      <c r="AB18" s="3">
        <f ca="1" xml:space="preserve">  IF( Time!AB28 &lt; 1 + $F15, 0, OFFSET( AB16, 0, - 1 * ( $F15 ) ) ) + IF( Time!AB28 &lt; 1 + $F15, 0, OFFSET( AB17, 0, - 1 * ( $F15 ) ) )</f>
        <v>0</v>
      </c>
      <c r="AC18" s="3">
        <f ca="1" xml:space="preserve">  IF( Time!AC28 &lt; 1 + $F15, 0, OFFSET( AC16, 0, - 1 * ( $F15 ) ) ) + IF( Time!AC28 &lt; 1 + $F15, 0, OFFSET( AC17, 0, - 1 * ( $F15 ) ) )</f>
        <v>0</v>
      </c>
      <c r="AD18" s="3">
        <f ca="1" xml:space="preserve">  IF( Time!AD28 &lt; 1 + $F15, 0, OFFSET( AD16, 0, - 1 * ( $F15 ) ) ) + IF( Time!AD28 &lt; 1 + $F15, 0, OFFSET( AD17, 0, - 1 * ( $F15 ) ) )</f>
        <v>0</v>
      </c>
      <c r="AE18" s="3">
        <f ca="1" xml:space="preserve">  IF( Time!AE28 &lt; 1 + $F15, 0, OFFSET( AE16, 0, - 1 * ( $F15 ) ) ) + IF( Time!AE28 &lt; 1 + $F15, 0, OFFSET( AE17, 0, - 1 * ( $F15 ) ) )</f>
        <v>0</v>
      </c>
      <c r="AF18" s="3">
        <f ca="1" xml:space="preserve">  IF( Time!AF28 &lt; 1 + $F15, 0, OFFSET( AF16, 0, - 1 * ( $F15 ) ) ) + IF( Time!AF28 &lt; 1 + $F15, 0, OFFSET( AF17, 0, - 1 * ( $F15 ) ) )</f>
        <v>0</v>
      </c>
      <c r="AG18" s="3">
        <f ca="1" xml:space="preserve">  IF( Time!AG28 &lt; 1 + $F15, 0, OFFSET( AG16, 0, - 1 * ( $F15 ) ) ) + IF( Time!AG28 &lt; 1 + $F15, 0, OFFSET( AG17, 0, - 1 * ( $F15 ) ) )</f>
        <v>0</v>
      </c>
      <c r="AH18" s="3">
        <f ca="1" xml:space="preserve">  IF( Time!AH28 &lt; 1 + $F15, 0, OFFSET( AH16, 0, - 1 * ( $F15 ) ) ) + IF( Time!AH28 &lt; 1 + $F15, 0, OFFSET( AH17, 0, - 1 * ( $F15 ) ) )</f>
        <v>1000</v>
      </c>
      <c r="AI18" s="3">
        <f ca="1" xml:space="preserve">  IF( Time!AI28 &lt; 1 + $F15, 0, OFFSET( AI16, 0, - 1 * ( $F15 ) ) ) + IF( Time!AI28 &lt; 1 + $F15, 0, OFFSET( AI17, 0, - 1 * ( $F15 ) ) )</f>
        <v>1000</v>
      </c>
      <c r="AJ18" s="3">
        <f ca="1" xml:space="preserve">  IF( Time!AJ28 &lt; 1 + $F15, 0, OFFSET( AJ16, 0, - 1 * ( $F15 ) ) ) + IF( Time!AJ28 &lt; 1 + $F15, 0, OFFSET( AJ17, 0, - 1 * ( $F15 ) ) )</f>
        <v>1000</v>
      </c>
      <c r="AK18" s="3">
        <f ca="1" xml:space="preserve">  IF( Time!AK28 &lt; 1 + $F15, 0, OFFSET( AK16, 0, - 1 * ( $F15 ) ) ) + IF( Time!AK28 &lt; 1 + $F15, 0, OFFSET( AK17, 0, - 1 * ( $F15 ) ) )</f>
        <v>1000</v>
      </c>
      <c r="AL18" s="3">
        <f ca="1" xml:space="preserve">  IF( Time!AL28 &lt; 1 + $F15, 0, OFFSET( AL16, 0, - 1 * ( $F15 ) ) ) + IF( Time!AL28 &lt; 1 + $F15, 0, OFFSET( AL17, 0, - 1 * ( $F15 ) ) )</f>
        <v>3000</v>
      </c>
      <c r="AM18" s="3">
        <f ca="1" xml:space="preserve">  IF( Time!AM28 &lt; 1 + $F15, 0, OFFSET( AM16, 0, - 1 * ( $F15 ) ) ) + IF( Time!AM28 &lt; 1 + $F15, 0, OFFSET( AM17, 0, - 1 * ( $F15 ) ) )</f>
        <v>3000</v>
      </c>
      <c r="AN18" s="3">
        <f ca="1" xml:space="preserve">  IF( Time!AN28 &lt; 1 + $F15, 0, OFFSET( AN16, 0, - 1 * ( $F15 ) ) ) + IF( Time!AN28 &lt; 1 + $F15, 0, OFFSET( AN17, 0, - 1 * ( $F15 ) ) )</f>
        <v>3000</v>
      </c>
      <c r="AO18" s="3">
        <f ca="1" xml:space="preserve">  IF( Time!AO28 &lt; 1 + $F15, 0, OFFSET( AO16, 0, - 1 * ( $F15 ) ) ) + IF( Time!AO28 &lt; 1 + $F15, 0, OFFSET( AO17, 0, - 1 * ( $F15 ) ) )</f>
        <v>5000</v>
      </c>
      <c r="AP18" s="3">
        <f ca="1" xml:space="preserve">  IF( Time!AP28 &lt; 1 + $F15, 0, OFFSET( AP16, 0, - 1 * ( $F15 ) ) ) + IF( Time!AP28 &lt; 1 + $F15, 0, OFFSET( AP17, 0, - 1 * ( $F15 ) ) )</f>
        <v>5000</v>
      </c>
      <c r="AQ18" s="3">
        <f ca="1" xml:space="preserve">  IF( Time!AQ28 &lt; 1 + $F15, 0, OFFSET( AQ16, 0, - 1 * ( $F15 ) ) ) + IF( Time!AQ28 &lt; 1 + $F15, 0, OFFSET( AQ17, 0, - 1 * ( $F15 ) ) )</f>
        <v>5000</v>
      </c>
      <c r="AR18" s="3">
        <f ca="1" xml:space="preserve">  IF( Time!AR28 &lt; 1 + $F15, 0, OFFSET( AR16, 0, - 1 * ( $F15 ) ) ) + IF( Time!AR28 &lt; 1 + $F15, 0, OFFSET( AR17, 0, - 1 * ( $F15 ) ) )</f>
        <v>5000</v>
      </c>
      <c r="AS18" s="3">
        <f ca="1" xml:space="preserve">  IF( Time!AS28 &lt; 1 + $F15, 0, OFFSET( AS16, 0, - 1 * ( $F15 ) ) ) + IF( Time!AS28 &lt; 1 + $F15, 0, OFFSET( AS17, 0, - 1 * ( $F15 ) ) )</f>
        <v>5000</v>
      </c>
      <c r="AT18" s="3">
        <f ca="1" xml:space="preserve">  IF( Time!AT28 &lt; 1 + $F15, 0, OFFSET( AT16, 0, - 1 * ( $F15 ) ) ) + IF( Time!AT28 &lt; 1 + $F15, 0, OFFSET( AT17, 0, - 1 * ( $F15 ) ) )</f>
        <v>5297.3154717964762</v>
      </c>
      <c r="AU18" s="3">
        <f ca="1" xml:space="preserve">  IF( Time!AU28 &lt; 1 + $F15, 0, OFFSET( AU16, 0, - 1 * ( $F15 ) ) ) + IF( Time!AU28 &lt; 1 + $F15, 0, OFFSET( AU17, 0, - 1 * ( $F15 ) ) )</f>
        <v>5612.3102415468647</v>
      </c>
      <c r="AV18" s="3">
        <f ca="1" xml:space="preserve">  IF( Time!AV28 &lt; 1 + $F15, 0, OFFSET( AV16, 0, - 1 * ( $F15 ) ) ) + IF( Time!AV28 &lt; 1 + $F15, 0, OFFSET( AV17, 0, - 1 * ( $F15 ) ) )</f>
        <v>5946.035575013605</v>
      </c>
      <c r="AW18" s="3">
        <f ca="1" xml:space="preserve">  IF( Time!AW28 &lt; 1 + $F15, 0, OFFSET( AW16, 0, - 1 * ( $F15 ) ) ) + IF( Time!AW28 &lt; 1 + $F15, 0, OFFSET( AW17, 0, - 1 * ( $F15 ) ) )</f>
        <v>6299.6052494743653</v>
      </c>
      <c r="AX18" s="3">
        <f ca="1" xml:space="preserve">  IF( Time!AX28 &lt; 1 + $F15, 0, OFFSET( AX16, 0, - 1 * ( $F15 ) ) ) + IF( Time!AX28 &lt; 1 + $F15, 0, OFFSET( AX17, 0, - 1 * ( $F15 ) ) )</f>
        <v>6674.1992708501712</v>
      </c>
      <c r="AY18" s="3">
        <f ca="1" xml:space="preserve">  IF( Time!AY28 &lt; 1 + $F15, 0, OFFSET( AY16, 0, - 1 * ( $F15 ) ) ) + IF( Time!AY28 &lt; 1 + $F15, 0, OFFSET( AY17, 0, - 1 * ( $F15 ) ) )</f>
        <v>7071.0678118654751</v>
      </c>
      <c r="AZ18" s="3">
        <f ca="1" xml:space="preserve">  IF( Time!AZ28 &lt; 1 + $F15, 0, OFFSET( AZ16, 0, - 1 * ( $F15 ) ) ) + IF( Time!AZ28 &lt; 1 + $F15, 0, OFFSET( AZ17, 0, - 1 * ( $F15 ) ) )</f>
        <v>7491.5353843834073</v>
      </c>
      <c r="BA18" s="3">
        <f ca="1" xml:space="preserve">  IF( Time!BA28 &lt; 1 + $F15, 0, OFFSET( BA16, 0, - 1 * ( $F15 ) ) ) + IF( Time!BA28 &lt; 1 + $F15, 0, OFFSET( BA17, 0, - 1 * ( $F15 ) ) )</f>
        <v>7937.0052598409975</v>
      </c>
      <c r="BB18" s="3">
        <f ca="1" xml:space="preserve">  IF( Time!BB28 &lt; 1 + $F15, 0, OFFSET( BB16, 0, - 1 * ( $F15 ) ) ) + IF( Time!BB28 &lt; 1 + $F15, 0, OFFSET( BB17, 0, - 1 * ( $F15 ) ) )</f>
        <v>8408.9641525371462</v>
      </c>
      <c r="BC18" s="3">
        <f ca="1" xml:space="preserve">  IF( Time!BC28 &lt; 1 + $F15, 0, OFFSET( BC16, 0, - 1 * ( $F15 ) ) ) + IF( Time!BC28 &lt; 1 + $F15, 0, OFFSET( BC17, 0, - 1 * ( $F15 ) ) )</f>
        <v>8908.9871814033941</v>
      </c>
      <c r="BD18" s="3">
        <f ca="1" xml:space="preserve">  IF( Time!BD28 &lt; 1 + $F15, 0, OFFSET( BD16, 0, - 1 * ( $F15 ) ) ) + IF( Time!BD28 &lt; 1 + $F15, 0, OFFSET( BD17, 0, - 1 * ( $F15 ) ) )</f>
        <v>9438.7431268169366</v>
      </c>
      <c r="BE18" s="3">
        <f ca="1" xml:space="preserve">  IF( Time!BE28 &lt; 1 + $F15, 0, OFFSET( BE16, 0, - 1 * ( $F15 ) ) ) + IF( Time!BE28 &lt; 1 + $F15, 0, OFFSET( BE17, 0, - 1 * ( $F15 ) ) )</f>
        <v>10000.000000000002</v>
      </c>
      <c r="BF18" s="3">
        <f ca="1" xml:space="preserve">  IF( Time!BF28 &lt; 1 + $F15, 0, OFFSET( BF16, 0, - 1 * ( $F15 ) ) ) + IF( Time!BF28 &lt; 1 + $F15, 0, OFFSET( BF17, 0, - 1 * ( $F15 ) ) )</f>
        <v>11494.630943592954</v>
      </c>
      <c r="BG18" s="3">
        <f ca="1" xml:space="preserve">  IF( Time!BG28 &lt; 1 + $F15, 0, OFFSET( BG16, 0, - 1 * ( $F15 ) ) ) + IF( Time!BG28 &lt; 1 + $F15, 0, OFFSET( BG17, 0, - 1 * ( $F15 ) ) )</f>
        <v>12124.620483093731</v>
      </c>
      <c r="BH18" s="3">
        <f ca="1" xml:space="preserve">  IF( Time!BH28 &lt; 1 + $F15, 0, OFFSET( BH16, 0, - 1 * ( $F15 ) ) ) + IF( Time!BH28 &lt; 1 + $F15, 0, OFFSET( BH17, 0, - 1 * ( $F15 ) ) )</f>
        <v>12792.071150027214</v>
      </c>
      <c r="BI18" s="3">
        <f ca="1" xml:space="preserve">  IF( Time!BI28 &lt; 1 + $F15, 0, OFFSET( BI16, 0, - 1 * ( $F15 ) ) ) + IF( Time!BI28 &lt; 1 + $F15, 0, OFFSET( BI17, 0, - 1 * ( $F15 ) ) )</f>
        <v>13499.210498948736</v>
      </c>
      <c r="BJ18" s="3">
        <f ca="1" xml:space="preserve">  IF( Time!BJ28 &lt; 1 + $F15, 0, OFFSET( BJ16, 0, - 1 * ( $F15 ) ) ) + IF( Time!BJ28 &lt; 1 + $F15, 0, OFFSET( BJ17, 0, - 1 * ( $F15 ) ) )</f>
        <v>16048.39854170035</v>
      </c>
      <c r="BK18" s="3">
        <f ca="1" xml:space="preserve">  IF( Time!BK28 &lt; 1 + $F15, 0, OFFSET( BK16, 0, - 1 * ( $F15 ) ) ) + IF( Time!BK28 &lt; 1 + $F15, 0, OFFSET( BK17, 0, - 1 * ( $F15 ) ) )</f>
        <v>16842.135623730959</v>
      </c>
      <c r="BL18" s="3">
        <f ca="1" xml:space="preserve">  IF( Time!BL28 &lt; 1 + $F15, 0, OFFSET( BL16, 0, - 1 * ( $F15 ) ) ) + IF( Time!BL28 &lt; 1 + $F15, 0, OFFSET( BL17, 0, - 1 * ( $F15 ) ) )</f>
        <v>17683.070768766825</v>
      </c>
      <c r="BM18" s="3">
        <f ca="1" xml:space="preserve">  IF( Time!BM28 &lt; 1 + $F15, 0, OFFSET( BM16, 0, - 1 * ( $F15 ) ) ) + IF( Time!BM28 &lt; 1 + $F15, 0, OFFSET( BM17, 0, - 1 * ( $F15 ) ) )</f>
        <v>20374.010519682004</v>
      </c>
      <c r="BN18" s="3">
        <f ca="1" xml:space="preserve">  IF( Time!BN28 &lt; 1 + $F15, 0, OFFSET( BN16, 0, - 1 * ( $F15 ) ) ) + IF( Time!BN28 &lt; 1 + $F15, 0, OFFSET( BN17, 0, - 1 * ( $F15 ) ) )</f>
        <v>21317.9283050743</v>
      </c>
      <c r="BO18" s="3">
        <f ca="1" xml:space="preserve">  IF( Time!BO28 &lt; 1 + $F15, 0, OFFSET( BO16, 0, - 1 * ( $F15 ) ) ) + IF( Time!BO28 &lt; 1 + $F15, 0, OFFSET( BO17, 0, - 1 * ( $F15 ) ) )</f>
        <v>22317.974362806795</v>
      </c>
      <c r="BP18" s="3">
        <f ca="1" xml:space="preserve">  IF( Time!BP28 &lt; 1 + $F15, 0, OFFSET( BP16, 0, - 1 * ( $F15 ) ) ) + IF( Time!BP28 &lt; 1 + $F15, 0, OFFSET( BP17, 0, - 1 * ( $F15 ) ) )</f>
        <v>23377.486253633881</v>
      </c>
      <c r="BQ18" s="3">
        <f ca="1" xml:space="preserve">  IF( Time!BQ28 &lt; 1 + $F15, 0, OFFSET( BQ16, 0, - 1 * ( $F15 ) ) ) + IF( Time!BQ28 &lt; 1 + $F15, 0, OFFSET( BQ17, 0, - 1 * ( $F15 ) ) )</f>
        <v>24500.000000000011</v>
      </c>
    </row>
    <row r="21" spans="1:69">
      <c r="B21" s="25" t="s">
        <v>245</v>
      </c>
    </row>
    <row r="22" spans="1:69" outlineLevel="1">
      <c r="A22" s="18"/>
      <c r="B22" s="18"/>
      <c r="C22" s="28"/>
      <c r="D22" s="27"/>
      <c r="E22" s="4" t="str">
        <f xml:space="preserve">  InpC!E$32</f>
        <v>Minimum quantity before reorder</v>
      </c>
      <c r="F22" s="4">
        <f xml:space="preserve">  InpC!F$32</f>
        <v>1000</v>
      </c>
      <c r="G22" s="4" t="str">
        <f xml:space="preserve">  InpC!G$32</f>
        <v>Units</v>
      </c>
      <c r="M22" s="2"/>
    </row>
    <row r="23" spans="1:69" outlineLevel="1">
      <c r="A23" s="18"/>
      <c r="B23" s="18"/>
      <c r="C23" s="28"/>
      <c r="D23" s="27"/>
      <c r="E23" s="4" t="str">
        <f xml:space="preserve">  InpC!E$36</f>
        <v>Minimum supplier order quantity</v>
      </c>
      <c r="F23" s="4">
        <f xml:space="preserve">  InpC!F$36</f>
        <v>5000</v>
      </c>
      <c r="G23" s="4" t="str">
        <f xml:space="preserve">  InpC!G$36</f>
        <v>Units</v>
      </c>
      <c r="M23" s="2"/>
    </row>
    <row r="24" spans="1:69" outlineLevel="1">
      <c r="A24" s="18"/>
      <c r="B24" s="18"/>
      <c r="C24" s="28"/>
      <c r="D24" s="27"/>
      <c r="E24" s="4" t="str">
        <f xml:space="preserve">  Customers!E$24</f>
        <v>Customer Orders Awaiting Fullfilment</v>
      </c>
      <c r="F24" s="4">
        <f xml:space="preserve">  Customers!F$24</f>
        <v>0</v>
      </c>
      <c r="G24" s="4" t="str">
        <f xml:space="preserve">  Customers!G$24</f>
        <v>Units</v>
      </c>
      <c r="H24" s="4">
        <f xml:space="preserve">  Customers!H$24</f>
        <v>0</v>
      </c>
      <c r="I24" s="4">
        <f xml:space="preserve">  Customers!I$24</f>
        <v>0</v>
      </c>
      <c r="J24" s="4">
        <f ca="1" xml:space="preserve">  Customers!J$24</f>
        <v>1000</v>
      </c>
      <c r="K24" s="4">
        <f ca="1" xml:space="preserve">  Customers!K$24</f>
        <v>2000</v>
      </c>
      <c r="L24" s="4">
        <f ca="1" xml:space="preserve">  Customers!L$24</f>
        <v>1000</v>
      </c>
      <c r="M24" s="4">
        <f ca="1" xml:space="preserve">  Customers!M$24</f>
        <v>1000</v>
      </c>
      <c r="N24" s="4">
        <f ca="1" xml:space="preserve">  Customers!N$24</f>
        <v>3000</v>
      </c>
      <c r="O24" s="4">
        <f ca="1" xml:space="preserve">  Customers!O$24</f>
        <v>5000</v>
      </c>
      <c r="P24" s="4">
        <f ca="1" xml:space="preserve">  Customers!P$24</f>
        <v>3000</v>
      </c>
      <c r="Q24" s="4">
        <f ca="1" xml:space="preserve">  Customers!Q$24</f>
        <v>5000</v>
      </c>
      <c r="R24" s="4">
        <f ca="1" xml:space="preserve">  Customers!R$24</f>
        <v>8000</v>
      </c>
      <c r="S24" s="4">
        <f ca="1" xml:space="preserve">  Customers!S$24</f>
        <v>13000</v>
      </c>
      <c r="T24" s="4">
        <f ca="1" xml:space="preserve">  Customers!T$24</f>
        <v>8000</v>
      </c>
      <c r="U24" s="4">
        <f ca="1" xml:space="preserve">  Customers!U$24</f>
        <v>13000</v>
      </c>
      <c r="V24" s="4">
        <f ca="1" xml:space="preserve">  Customers!V$24</f>
        <v>8297.3154717964753</v>
      </c>
      <c r="W24" s="4">
        <f ca="1" xml:space="preserve">  Customers!W$24</f>
        <v>5612.3102415468638</v>
      </c>
      <c r="X24" s="4">
        <f ca="1" xml:space="preserve">  Customers!X$24</f>
        <v>9855.6612883569433</v>
      </c>
      <c r="Y24" s="4">
        <f ca="1" xml:space="preserve">  Customers!Y$24</f>
        <v>6299.6052494743653</v>
      </c>
      <c r="Z24" s="4">
        <f ca="1" xml:space="preserve">  Customers!Z$24</f>
        <v>12829.46580868148</v>
      </c>
      <c r="AA24" s="4">
        <f ca="1" xml:space="preserve">  Customers!AA$24</f>
        <v>19900.533620546954</v>
      </c>
      <c r="AB24" s="4">
        <f ca="1" xml:space="preserve">  Customers!AB$24</f>
        <v>27392.069004930359</v>
      </c>
      <c r="AC24" s="4">
        <f ca="1" xml:space="preserve">  Customers!AC$24</f>
        <v>35329.074264771356</v>
      </c>
      <c r="AD24" s="4">
        <f ca="1" xml:space="preserve">  Customers!AD$24</f>
        <v>43738.038417308504</v>
      </c>
      <c r="AE24" s="4">
        <f ca="1" xml:space="preserve">  Customers!AE$24</f>
        <v>47647.025598711902</v>
      </c>
      <c r="AF24" s="4">
        <f ca="1" xml:space="preserve">  Customers!AF$24</f>
        <v>52085.76872552884</v>
      </c>
      <c r="AG24" s="4">
        <f ca="1" xml:space="preserve">  Customers!AG$24</f>
        <v>57085.76872552884</v>
      </c>
      <c r="AH24" s="4">
        <f ca="1" xml:space="preserve">  Customers!AH$24</f>
        <v>58580.399669121791</v>
      </c>
      <c r="AI24" s="4">
        <f ca="1" xml:space="preserve">  Customers!AI$24</f>
        <v>65705.020152215526</v>
      </c>
      <c r="AJ24" s="4">
        <f ca="1" xml:space="preserve">  Customers!AJ$24</f>
        <v>68497.091302242741</v>
      </c>
      <c r="AK24" s="4">
        <f ca="1" xml:space="preserve">  Customers!AK$24</f>
        <v>76996.301801191483</v>
      </c>
      <c r="AL24" s="4">
        <f ca="1" xml:space="preserve">  Customers!AL$24</f>
        <v>83044.700342891825</v>
      </c>
      <c r="AM24" s="4">
        <f ca="1" xml:space="preserve">  Customers!AM$24</f>
        <v>89886.835966622777</v>
      </c>
      <c r="AN24" s="4">
        <f ca="1" xml:space="preserve">  Customers!AN$24</f>
        <v>97569.906735389595</v>
      </c>
      <c r="AO24" s="4">
        <f ca="1" xml:space="preserve">  Customers!AO$24</f>
        <v>107943.9172550716</v>
      </c>
      <c r="AP24" s="4">
        <f ca="1" xml:space="preserve">  Customers!AP$24</f>
        <v>114261.8455601459</v>
      </c>
      <c r="AQ24" s="4">
        <f ca="1" xml:space="preserve">  Customers!AQ$24</f>
        <v>126579.81992295268</v>
      </c>
      <c r="AR24" s="4">
        <f ca="1" xml:space="preserve">  Customers!AR$24</f>
        <v>134957.30617658657</v>
      </c>
      <c r="AS24" s="4">
        <f ca="1" xml:space="preserve">  Customers!AS$24</f>
        <v>144457.30617658657</v>
      </c>
      <c r="AT24" s="4">
        <f ca="1" xml:space="preserve">  Customers!AT$24</f>
        <v>150414.15198838932</v>
      </c>
      <c r="AU24" s="4">
        <f ca="1" xml:space="preserve">  Customers!AU$24</f>
        <v>162914.47217196896</v>
      </c>
      <c r="AV24" s="4">
        <f ca="1" xml:space="preserve">  Customers!AV$24</f>
        <v>172050.04648953563</v>
      </c>
      <c r="AW24" s="4">
        <f ca="1" xml:space="preserve">  Customers!AW$24</f>
        <v>177918.11221196005</v>
      </c>
      <c r="AX24" s="4">
        <f ca="1" xml:space="preserve">  Customers!AX$24</f>
        <v>190621.6886391259</v>
      </c>
      <c r="AY24" s="4">
        <f ca="1" xml:space="preserve">  Customers!AY$24</f>
        <v>200269.92091726678</v>
      </c>
      <c r="AZ24" s="4">
        <f ca="1" xml:space="preserve">  Customers!AZ$24</f>
        <v>211978.4443007455</v>
      </c>
      <c r="BA24" s="4">
        <f ca="1" xml:space="preserve">  Customers!BA$24</f>
        <v>225869.77007396641</v>
      </c>
      <c r="BB24" s="4">
        <f ca="1" xml:space="preserve">  Customers!BB$24</f>
        <v>242073.69442139845</v>
      </c>
      <c r="BC24" s="4">
        <f ca="1" xml:space="preserve">  Customers!BC$24</f>
        <v>255727.73161027511</v>
      </c>
      <c r="BD24" s="4">
        <f ca="1" xml:space="preserve">  Customers!BD$24</f>
        <v>271977.57293167815</v>
      </c>
      <c r="BE24" s="4">
        <f ca="1" xml:space="preserve">  Customers!BE$24</f>
        <v>285977.57293167821</v>
      </c>
      <c r="BF24" s="4">
        <f ca="1" xml:space="preserve">  Customers!BF$24</f>
        <v>302891.26455528376</v>
      </c>
      <c r="BG24" s="4">
        <f ca="1" xml:space="preserve">  Customers!BG$24</f>
        <v>322891.90492244309</v>
      </c>
      <c r="BH24" s="4">
        <f ca="1" xml:space="preserve">  Customers!BH$24</f>
        <v>341163.0535575765</v>
      </c>
      <c r="BI24" s="4">
        <f ca="1" xml:space="preserve">  Customers!BI$24</f>
        <v>362899.18500242539</v>
      </c>
      <c r="BJ24" s="4">
        <f ca="1" xml:space="preserve">  Customers!BJ$24</f>
        <v>383306.33785675722</v>
      </c>
      <c r="BK24" s="4">
        <f ca="1" xml:space="preserve">  Customers!BK$24</f>
        <v>407602.80241303897</v>
      </c>
      <c r="BL24" s="4">
        <f ca="1" xml:space="preserve">  Customers!BL$24</f>
        <v>431019.84917999641</v>
      </c>
      <c r="BM24" s="4">
        <f ca="1" xml:space="preserve">  Customers!BM$24</f>
        <v>458802.5007264383</v>
      </c>
      <c r="BN24" s="4">
        <f ca="1" xml:space="preserve">  Customers!BN$24</f>
        <v>486210.34942130244</v>
      </c>
      <c r="BO24" s="4">
        <f ca="1" xml:space="preserve">  Customers!BO$24</f>
        <v>513518.42379905586</v>
      </c>
      <c r="BP24" s="4">
        <f ca="1" xml:space="preserve">  Customers!BP$24</f>
        <v>546018.10644186195</v>
      </c>
      <c r="BQ24" s="4">
        <f ca="1" xml:space="preserve">  Customers!BQ$24</f>
        <v>579018.10644186207</v>
      </c>
    </row>
    <row r="25" spans="1:69" outlineLevel="1">
      <c r="E25" s="2" t="str">
        <f t="shared" ref="E25:BQ25" si="1" xml:space="preserve">  E$47</f>
        <v>Units on order BEG</v>
      </c>
      <c r="F25" s="2">
        <f t="shared" si="1"/>
        <v>0</v>
      </c>
      <c r="G25" s="2" t="str">
        <f t="shared" si="1"/>
        <v>Units</v>
      </c>
      <c r="H25" s="2">
        <f t="shared" si="1"/>
        <v>0</v>
      </c>
      <c r="I25" s="2">
        <f t="shared" si="1"/>
        <v>0</v>
      </c>
      <c r="J25" s="2">
        <f t="shared" si="1"/>
        <v>0</v>
      </c>
      <c r="K25" s="2">
        <f t="shared" ca="1" si="1"/>
        <v>0</v>
      </c>
      <c r="L25" s="2">
        <f t="shared" ca="1" si="1"/>
        <v>-5000</v>
      </c>
      <c r="M25" s="2">
        <f t="shared" ca="1" si="1"/>
        <v>5000</v>
      </c>
      <c r="N25" s="2">
        <f t="shared" ca="1" si="1"/>
        <v>15000</v>
      </c>
      <c r="O25" s="2">
        <f t="shared" ca="1" si="1"/>
        <v>25000</v>
      </c>
      <c r="P25" s="2">
        <f t="shared" ca="1" si="1"/>
        <v>15000</v>
      </c>
      <c r="Q25" s="2">
        <f t="shared" ca="1" si="1"/>
        <v>25000</v>
      </c>
      <c r="R25" s="2">
        <f t="shared" ca="1" si="1"/>
        <v>25000</v>
      </c>
      <c r="S25" s="2">
        <f t="shared" ca="1" si="1"/>
        <v>35000</v>
      </c>
      <c r="T25" s="2">
        <f t="shared" ca="1" si="1"/>
        <v>25000</v>
      </c>
      <c r="U25" s="2">
        <f t="shared" ca="1" si="1"/>
        <v>25000</v>
      </c>
      <c r="V25" s="2">
        <f t="shared" ca="1" si="1"/>
        <v>15000</v>
      </c>
      <c r="W25" s="2">
        <f t="shared" ca="1" si="1"/>
        <v>5000</v>
      </c>
      <c r="X25" s="2">
        <f t="shared" ca="1" si="1"/>
        <v>5000</v>
      </c>
      <c r="Y25" s="2">
        <f t="shared" ca="1" si="1"/>
        <v>0</v>
      </c>
      <c r="Z25" s="2">
        <f t="shared" ca="1" si="1"/>
        <v>5000</v>
      </c>
      <c r="AA25" s="2">
        <f t="shared" ca="1" si="1"/>
        <v>10000</v>
      </c>
      <c r="AB25" s="2">
        <f t="shared" ca="1" si="1"/>
        <v>20000</v>
      </c>
      <c r="AC25" s="2">
        <f t="shared" ca="1" si="1"/>
        <v>25000</v>
      </c>
      <c r="AD25" s="2">
        <f t="shared" ca="1" si="1"/>
        <v>35000</v>
      </c>
      <c r="AE25" s="2">
        <f t="shared" ca="1" si="1"/>
        <v>35000</v>
      </c>
      <c r="AF25" s="2">
        <f t="shared" ca="1" si="1"/>
        <v>40000</v>
      </c>
      <c r="AG25" s="2">
        <f t="shared" ca="1" si="1"/>
        <v>45000</v>
      </c>
      <c r="AH25" s="2">
        <f t="shared" ca="1" si="1"/>
        <v>45000</v>
      </c>
      <c r="AI25" s="2">
        <f t="shared" ca="1" si="1"/>
        <v>50000</v>
      </c>
      <c r="AJ25" s="2">
        <f t="shared" ca="1" si="1"/>
        <v>55000</v>
      </c>
      <c r="AK25" s="2">
        <f t="shared" ca="1" si="1"/>
        <v>60000</v>
      </c>
      <c r="AL25" s="2">
        <f t="shared" ca="1" si="1"/>
        <v>65000</v>
      </c>
      <c r="AM25" s="2">
        <f t="shared" ca="1" si="1"/>
        <v>70000</v>
      </c>
      <c r="AN25" s="2">
        <f t="shared" ca="1" si="1"/>
        <v>80000</v>
      </c>
      <c r="AO25" s="2">
        <f t="shared" ca="1" si="1"/>
        <v>85000</v>
      </c>
      <c r="AP25" s="2">
        <f t="shared" ca="1" si="1"/>
        <v>90000</v>
      </c>
      <c r="AQ25" s="2">
        <f t="shared" ca="1" si="1"/>
        <v>105000</v>
      </c>
      <c r="AR25" s="2">
        <f t="shared" ca="1" si="1"/>
        <v>110000</v>
      </c>
      <c r="AS25" s="2">
        <f t="shared" ca="1" si="1"/>
        <v>120000</v>
      </c>
      <c r="AT25" s="2">
        <f t="shared" ca="1" si="1"/>
        <v>125000</v>
      </c>
      <c r="AU25" s="2">
        <f t="shared" ca="1" si="1"/>
        <v>135000</v>
      </c>
      <c r="AV25" s="2">
        <f t="shared" ca="1" si="1"/>
        <v>140000</v>
      </c>
      <c r="AW25" s="2">
        <f t="shared" ca="1" si="1"/>
        <v>145000</v>
      </c>
      <c r="AX25" s="2">
        <f t="shared" ca="1" si="1"/>
        <v>155000</v>
      </c>
      <c r="AY25" s="2">
        <f t="shared" ca="1" si="1"/>
        <v>165000</v>
      </c>
      <c r="AZ25" s="2">
        <f t="shared" ca="1" si="1"/>
        <v>175000</v>
      </c>
      <c r="BA25" s="2">
        <f t="shared" ca="1" si="1"/>
        <v>185000</v>
      </c>
      <c r="BB25" s="2">
        <f t="shared" ca="1" si="1"/>
        <v>200000</v>
      </c>
      <c r="BC25" s="2">
        <f t="shared" ca="1" si="1"/>
        <v>210000</v>
      </c>
      <c r="BD25" s="2">
        <f t="shared" ca="1" si="1"/>
        <v>225000</v>
      </c>
      <c r="BE25" s="2">
        <f t="shared" ca="1" si="1"/>
        <v>235000</v>
      </c>
      <c r="BF25" s="2">
        <f t="shared" ca="1" si="1"/>
        <v>250000</v>
      </c>
      <c r="BG25" s="2">
        <f t="shared" ca="1" si="1"/>
        <v>265000</v>
      </c>
      <c r="BH25" s="2">
        <f t="shared" ca="1" si="1"/>
        <v>280000</v>
      </c>
      <c r="BI25" s="2">
        <f t="shared" ca="1" si="1"/>
        <v>300000</v>
      </c>
      <c r="BJ25" s="2">
        <f t="shared" ca="1" si="1"/>
        <v>315000</v>
      </c>
      <c r="BK25" s="2">
        <f t="shared" ca="1" si="1"/>
        <v>335000</v>
      </c>
      <c r="BL25" s="2">
        <f t="shared" ca="1" si="1"/>
        <v>355000</v>
      </c>
      <c r="BM25" s="2">
        <f t="shared" ca="1" si="1"/>
        <v>380000</v>
      </c>
      <c r="BN25" s="2">
        <f t="shared" ca="1" si="1"/>
        <v>400000</v>
      </c>
      <c r="BO25" s="2">
        <f t="shared" ca="1" si="1"/>
        <v>425000</v>
      </c>
      <c r="BP25" s="2">
        <f t="shared" ca="1" si="1"/>
        <v>450000</v>
      </c>
      <c r="BQ25" s="2">
        <f t="shared" ca="1" si="1"/>
        <v>480000</v>
      </c>
    </row>
    <row r="26" spans="1:69" outlineLevel="1">
      <c r="E26" s="47" t="s">
        <v>245</v>
      </c>
      <c r="G26" s="47" t="s">
        <v>122</v>
      </c>
      <c r="H26" s="2">
        <f ca="1" xml:space="preserve"> SUM( J26:BQ26 )</f>
        <v>1605000</v>
      </c>
      <c r="J26" s="2">
        <f t="shared" ref="J26:BQ26" ca="1" si="2" xml:space="preserve">  IF( J24 + $F22 - J25 &gt; 0, FLOOR( ( J24 + $F22 - J25 ) / $F23, 1 ) * $F23, 0 )</f>
        <v>0</v>
      </c>
      <c r="K26" s="2">
        <f t="shared" ca="1" si="2"/>
        <v>0</v>
      </c>
      <c r="L26" s="2">
        <f t="shared" ca="1" si="2"/>
        <v>5000</v>
      </c>
      <c r="M26" s="2">
        <f t="shared" ca="1" si="2"/>
        <v>0</v>
      </c>
      <c r="N26" s="2">
        <f t="shared" ca="1" si="2"/>
        <v>0</v>
      </c>
      <c r="O26" s="2">
        <f t="shared" ca="1" si="2"/>
        <v>0</v>
      </c>
      <c r="P26" s="2">
        <f t="shared" ca="1" si="2"/>
        <v>0</v>
      </c>
      <c r="Q26" s="2">
        <f t="shared" ca="1" si="2"/>
        <v>0</v>
      </c>
      <c r="R26" s="2">
        <f t="shared" ca="1" si="2"/>
        <v>0</v>
      </c>
      <c r="S26" s="2">
        <f t="shared" ca="1" si="2"/>
        <v>0</v>
      </c>
      <c r="T26" s="2">
        <f t="shared" ca="1" si="2"/>
        <v>0</v>
      </c>
      <c r="U26" s="2">
        <f t="shared" ca="1" si="2"/>
        <v>0</v>
      </c>
      <c r="V26" s="2">
        <f t="shared" ca="1" si="2"/>
        <v>0</v>
      </c>
      <c r="W26" s="2">
        <f t="shared" ca="1" si="2"/>
        <v>0</v>
      </c>
      <c r="X26" s="2">
        <f t="shared" ca="1" si="2"/>
        <v>5000</v>
      </c>
      <c r="Y26" s="2">
        <f t="shared" ca="1" si="2"/>
        <v>5000</v>
      </c>
      <c r="Z26" s="2">
        <f t="shared" ca="1" si="2"/>
        <v>5000</v>
      </c>
      <c r="AA26" s="2">
        <f t="shared" ca="1" si="2"/>
        <v>10000</v>
      </c>
      <c r="AB26" s="2">
        <f t="shared" ca="1" si="2"/>
        <v>5000</v>
      </c>
      <c r="AC26" s="2">
        <f t="shared" ca="1" si="2"/>
        <v>10000</v>
      </c>
      <c r="AD26" s="2">
        <f t="shared" ca="1" si="2"/>
        <v>5000</v>
      </c>
      <c r="AE26" s="2">
        <f t="shared" ca="1" si="2"/>
        <v>10000</v>
      </c>
      <c r="AF26" s="2">
        <f t="shared" ca="1" si="2"/>
        <v>10000</v>
      </c>
      <c r="AG26" s="2">
        <f t="shared" ca="1" si="2"/>
        <v>10000</v>
      </c>
      <c r="AH26" s="2">
        <f t="shared" ca="1" si="2"/>
        <v>10000</v>
      </c>
      <c r="AI26" s="2">
        <f t="shared" ca="1" si="2"/>
        <v>15000</v>
      </c>
      <c r="AJ26" s="2">
        <f t="shared" ca="1" si="2"/>
        <v>10000</v>
      </c>
      <c r="AK26" s="2">
        <f t="shared" ca="1" si="2"/>
        <v>15000</v>
      </c>
      <c r="AL26" s="2">
        <f t="shared" ca="1" si="2"/>
        <v>15000</v>
      </c>
      <c r="AM26" s="2">
        <f t="shared" ca="1" si="2"/>
        <v>20000</v>
      </c>
      <c r="AN26" s="2">
        <f t="shared" ca="1" si="2"/>
        <v>15000</v>
      </c>
      <c r="AO26" s="2">
        <f t="shared" ca="1" si="2"/>
        <v>20000</v>
      </c>
      <c r="AP26" s="2">
        <f t="shared" ca="1" si="2"/>
        <v>25000</v>
      </c>
      <c r="AQ26" s="2">
        <f t="shared" ca="1" si="2"/>
        <v>20000</v>
      </c>
      <c r="AR26" s="2">
        <f t="shared" ca="1" si="2"/>
        <v>25000</v>
      </c>
      <c r="AS26" s="2">
        <f t="shared" ca="1" si="2"/>
        <v>25000</v>
      </c>
      <c r="AT26" s="2">
        <f t="shared" ca="1" si="2"/>
        <v>25000</v>
      </c>
      <c r="AU26" s="2">
        <f t="shared" ca="1" si="2"/>
        <v>25000</v>
      </c>
      <c r="AV26" s="2">
        <f t="shared" ca="1" si="2"/>
        <v>30000</v>
      </c>
      <c r="AW26" s="2">
        <f t="shared" ca="1" si="2"/>
        <v>30000</v>
      </c>
      <c r="AX26" s="2">
        <f t="shared" ca="1" si="2"/>
        <v>35000</v>
      </c>
      <c r="AY26" s="2">
        <f t="shared" ca="1" si="2"/>
        <v>35000</v>
      </c>
      <c r="AZ26" s="2">
        <f t="shared" ca="1" si="2"/>
        <v>35000</v>
      </c>
      <c r="BA26" s="2">
        <f t="shared" ca="1" si="2"/>
        <v>40000</v>
      </c>
      <c r="BB26" s="2">
        <f t="shared" ca="1" si="2"/>
        <v>40000</v>
      </c>
      <c r="BC26" s="2">
        <f t="shared" ca="1" si="2"/>
        <v>45000</v>
      </c>
      <c r="BD26" s="2">
        <f t="shared" ca="1" si="2"/>
        <v>45000</v>
      </c>
      <c r="BE26" s="2">
        <f t="shared" ca="1" si="2"/>
        <v>50000</v>
      </c>
      <c r="BF26" s="2">
        <f t="shared" ca="1" si="2"/>
        <v>50000</v>
      </c>
      <c r="BG26" s="2">
        <f t="shared" ca="1" si="2"/>
        <v>55000</v>
      </c>
      <c r="BH26" s="2">
        <f t="shared" ca="1" si="2"/>
        <v>60000</v>
      </c>
      <c r="BI26" s="2">
        <f t="shared" ca="1" si="2"/>
        <v>60000</v>
      </c>
      <c r="BJ26" s="2">
        <f t="shared" ca="1" si="2"/>
        <v>65000</v>
      </c>
      <c r="BK26" s="2">
        <f t="shared" ca="1" si="2"/>
        <v>70000</v>
      </c>
      <c r="BL26" s="2">
        <f t="shared" ca="1" si="2"/>
        <v>75000</v>
      </c>
      <c r="BM26" s="2">
        <f t="shared" ca="1" si="2"/>
        <v>75000</v>
      </c>
      <c r="BN26" s="2">
        <f t="shared" ca="1" si="2"/>
        <v>85000</v>
      </c>
      <c r="BO26" s="2">
        <f t="shared" ca="1" si="2"/>
        <v>85000</v>
      </c>
      <c r="BP26" s="2">
        <f t="shared" ca="1" si="2"/>
        <v>95000</v>
      </c>
      <c r="BQ26" s="2">
        <f t="shared" ca="1" si="2"/>
        <v>100000</v>
      </c>
    </row>
    <row r="29" spans="1:69">
      <c r="B29" s="25" t="s">
        <v>129</v>
      </c>
    </row>
    <row r="30" spans="1:69" outlineLevel="1">
      <c r="A30" s="18"/>
      <c r="B30" s="18"/>
      <c r="C30" s="28"/>
      <c r="D30" s="27"/>
      <c r="E30" s="4" t="str">
        <f xml:space="preserve">  InpS!E$15</f>
        <v>STF Units ordered</v>
      </c>
      <c r="F30" s="4">
        <f xml:space="preserve">  InpS!F$15</f>
        <v>0</v>
      </c>
      <c r="G30" s="4" t="str">
        <f xml:space="preserve">  InpS!G$15</f>
        <v>GBP</v>
      </c>
      <c r="H30" s="4">
        <f xml:space="preserve">  InpS!H$15</f>
        <v>50000</v>
      </c>
      <c r="I30" s="4">
        <f xml:space="preserve">  InpS!I$15</f>
        <v>0</v>
      </c>
      <c r="J30" s="4">
        <f xml:space="preserve">  InpS!J$15</f>
        <v>0</v>
      </c>
      <c r="K30" s="4">
        <f xml:space="preserve">  InpS!K$15</f>
        <v>0</v>
      </c>
      <c r="L30" s="4">
        <f xml:space="preserve">  InpS!L$15</f>
        <v>10000</v>
      </c>
      <c r="M30" s="4">
        <f xml:space="preserve">  InpS!M$15</f>
        <v>10000</v>
      </c>
      <c r="N30" s="4">
        <f xml:space="preserve">  InpS!N$15</f>
        <v>10000</v>
      </c>
      <c r="O30" s="4">
        <f xml:space="preserve">  InpS!O$15</f>
        <v>0</v>
      </c>
      <c r="P30" s="4">
        <f xml:space="preserve">  InpS!P$15</f>
        <v>10000</v>
      </c>
      <c r="Q30" s="4">
        <f xml:space="preserve">  InpS!Q$15</f>
        <v>0</v>
      </c>
      <c r="R30" s="4">
        <f xml:space="preserve">  InpS!R$15</f>
        <v>10000</v>
      </c>
      <c r="S30" s="4">
        <f xml:space="preserve">  InpS!S$15</f>
        <v>0</v>
      </c>
      <c r="T30" s="4">
        <f xml:space="preserve">  InpS!T$15</f>
        <v>0</v>
      </c>
      <c r="U30" s="4">
        <f xml:space="preserve">  InpS!U$15</f>
        <v>0</v>
      </c>
      <c r="V30" s="4">
        <f xml:space="preserve">  InpS!V$15</f>
        <v>0</v>
      </c>
      <c r="W30" s="4">
        <f xml:space="preserve">  InpS!W$15</f>
        <v>0</v>
      </c>
      <c r="X30" s="4">
        <f xml:space="preserve">  InpS!X$15</f>
        <v>0</v>
      </c>
      <c r="Y30" s="4">
        <f xml:space="preserve">  InpS!Y$15</f>
        <v>0</v>
      </c>
      <c r="Z30" s="4">
        <f xml:space="preserve">  InpS!Z$15</f>
        <v>0</v>
      </c>
      <c r="AA30" s="4">
        <f xml:space="preserve">  InpS!AA$15</f>
        <v>0</v>
      </c>
      <c r="AB30" s="4">
        <f xml:space="preserve">  InpS!AB$15</f>
        <v>0</v>
      </c>
      <c r="AC30" s="4">
        <f xml:space="preserve">  InpS!AC$15</f>
        <v>0</v>
      </c>
      <c r="AD30" s="4">
        <f xml:space="preserve">  InpS!AD$15</f>
        <v>0</v>
      </c>
      <c r="AE30" s="4">
        <f xml:space="preserve">  InpS!AE$15</f>
        <v>0</v>
      </c>
      <c r="AF30" s="4">
        <f xml:space="preserve">  InpS!AF$15</f>
        <v>0</v>
      </c>
      <c r="AG30" s="4">
        <f xml:space="preserve">  InpS!AG$15</f>
        <v>0</v>
      </c>
      <c r="AH30" s="4">
        <f xml:space="preserve">  InpS!AH$15</f>
        <v>0</v>
      </c>
      <c r="AI30" s="4">
        <f xml:space="preserve">  InpS!AI$15</f>
        <v>0</v>
      </c>
      <c r="AJ30" s="4">
        <f xml:space="preserve">  InpS!AJ$15</f>
        <v>0</v>
      </c>
      <c r="AK30" s="4">
        <f xml:space="preserve">  InpS!AK$15</f>
        <v>0</v>
      </c>
      <c r="AL30" s="4">
        <f xml:space="preserve">  InpS!AL$15</f>
        <v>0</v>
      </c>
      <c r="AM30" s="4">
        <f xml:space="preserve">  InpS!AM$15</f>
        <v>0</v>
      </c>
      <c r="AN30" s="4">
        <f xml:space="preserve">  InpS!AN$15</f>
        <v>0</v>
      </c>
      <c r="AO30" s="4">
        <f xml:space="preserve">  InpS!AO$15</f>
        <v>0</v>
      </c>
      <c r="AP30" s="4">
        <f xml:space="preserve">  InpS!AP$15</f>
        <v>0</v>
      </c>
      <c r="AQ30" s="4">
        <f xml:space="preserve">  InpS!AQ$15</f>
        <v>0</v>
      </c>
      <c r="AR30" s="4">
        <f xml:space="preserve">  InpS!AR$15</f>
        <v>0</v>
      </c>
      <c r="AS30" s="4">
        <f xml:space="preserve">  InpS!AS$15</f>
        <v>0</v>
      </c>
      <c r="AT30" s="4">
        <f xml:space="preserve">  InpS!AT$15</f>
        <v>0</v>
      </c>
      <c r="AU30" s="4">
        <f xml:space="preserve">  InpS!AU$15</f>
        <v>0</v>
      </c>
      <c r="AV30" s="4">
        <f xml:space="preserve">  InpS!AV$15</f>
        <v>0</v>
      </c>
      <c r="AW30" s="4">
        <f xml:space="preserve">  InpS!AW$15</f>
        <v>0</v>
      </c>
      <c r="AX30" s="4">
        <f xml:space="preserve">  InpS!AX$15</f>
        <v>0</v>
      </c>
      <c r="AY30" s="4">
        <f xml:space="preserve">  InpS!AY$15</f>
        <v>0</v>
      </c>
      <c r="AZ30" s="4">
        <f xml:space="preserve">  InpS!AZ$15</f>
        <v>0</v>
      </c>
      <c r="BA30" s="4">
        <f xml:space="preserve">  InpS!BA$15</f>
        <v>0</v>
      </c>
      <c r="BB30" s="4">
        <f xml:space="preserve">  InpS!BB$15</f>
        <v>0</v>
      </c>
      <c r="BC30" s="4">
        <f xml:space="preserve">  InpS!BC$15</f>
        <v>0</v>
      </c>
      <c r="BD30" s="4">
        <f xml:space="preserve">  InpS!BD$15</f>
        <v>0</v>
      </c>
      <c r="BE30" s="4">
        <f xml:space="preserve">  InpS!BE$15</f>
        <v>0</v>
      </c>
      <c r="BF30" s="4">
        <f xml:space="preserve">  InpS!BF$15</f>
        <v>0</v>
      </c>
      <c r="BG30" s="4">
        <f xml:space="preserve">  InpS!BG$15</f>
        <v>0</v>
      </c>
      <c r="BH30" s="4">
        <f xml:space="preserve">  InpS!BH$15</f>
        <v>0</v>
      </c>
      <c r="BI30" s="4">
        <f xml:space="preserve">  InpS!BI$15</f>
        <v>0</v>
      </c>
      <c r="BJ30" s="4">
        <f xml:space="preserve">  InpS!BJ$15</f>
        <v>0</v>
      </c>
      <c r="BK30" s="4">
        <f xml:space="preserve">  InpS!BK$15</f>
        <v>0</v>
      </c>
      <c r="BL30" s="4">
        <f xml:space="preserve">  InpS!BL$15</f>
        <v>0</v>
      </c>
      <c r="BM30" s="4">
        <f xml:space="preserve">  InpS!BM$15</f>
        <v>0</v>
      </c>
      <c r="BN30" s="4">
        <f xml:space="preserve">  InpS!BN$15</f>
        <v>0</v>
      </c>
      <c r="BO30" s="4">
        <f xml:space="preserve">  InpS!BO$15</f>
        <v>0</v>
      </c>
      <c r="BP30" s="4">
        <f xml:space="preserve">  InpS!BP$15</f>
        <v>0</v>
      </c>
      <c r="BQ30" s="4">
        <f xml:space="preserve">  InpS!BQ$15</f>
        <v>0</v>
      </c>
    </row>
    <row r="31" spans="1:69" outlineLevel="1">
      <c r="E31" s="2" t="str">
        <f t="shared" ref="E31:BQ31" si="3" xml:space="preserve">  E$26</f>
        <v>Order Quantity</v>
      </c>
      <c r="F31" s="2">
        <f t="shared" si="3"/>
        <v>0</v>
      </c>
      <c r="G31" s="2" t="str">
        <f t="shared" si="3"/>
        <v>Units</v>
      </c>
      <c r="H31" s="2">
        <f t="shared" ca="1" si="3"/>
        <v>1605000</v>
      </c>
      <c r="I31" s="2">
        <f t="shared" si="3"/>
        <v>0</v>
      </c>
      <c r="J31" s="2">
        <f t="shared" ca="1" si="3"/>
        <v>0</v>
      </c>
      <c r="K31" s="2">
        <f t="shared" ca="1" si="3"/>
        <v>0</v>
      </c>
      <c r="L31" s="2">
        <f t="shared" ca="1" si="3"/>
        <v>5000</v>
      </c>
      <c r="M31" s="2">
        <f t="shared" ca="1" si="3"/>
        <v>0</v>
      </c>
      <c r="N31" s="2">
        <f t="shared" ca="1" si="3"/>
        <v>0</v>
      </c>
      <c r="O31" s="2">
        <f t="shared" ca="1" si="3"/>
        <v>0</v>
      </c>
      <c r="P31" s="2">
        <f t="shared" ca="1" si="3"/>
        <v>0</v>
      </c>
      <c r="Q31" s="2">
        <f t="shared" ca="1" si="3"/>
        <v>0</v>
      </c>
      <c r="R31" s="2">
        <f t="shared" ca="1" si="3"/>
        <v>0</v>
      </c>
      <c r="S31" s="2">
        <f t="shared" ca="1" si="3"/>
        <v>0</v>
      </c>
      <c r="T31" s="2">
        <f t="shared" ca="1" si="3"/>
        <v>0</v>
      </c>
      <c r="U31" s="2">
        <f t="shared" ca="1" si="3"/>
        <v>0</v>
      </c>
      <c r="V31" s="2">
        <f t="shared" ca="1" si="3"/>
        <v>0</v>
      </c>
      <c r="W31" s="2">
        <f t="shared" ca="1" si="3"/>
        <v>0</v>
      </c>
      <c r="X31" s="2">
        <f t="shared" ca="1" si="3"/>
        <v>5000</v>
      </c>
      <c r="Y31" s="2">
        <f t="shared" ca="1" si="3"/>
        <v>5000</v>
      </c>
      <c r="Z31" s="2">
        <f t="shared" ca="1" si="3"/>
        <v>5000</v>
      </c>
      <c r="AA31" s="2">
        <f t="shared" ca="1" si="3"/>
        <v>10000</v>
      </c>
      <c r="AB31" s="2">
        <f t="shared" ca="1" si="3"/>
        <v>5000</v>
      </c>
      <c r="AC31" s="2">
        <f t="shared" ca="1" si="3"/>
        <v>10000</v>
      </c>
      <c r="AD31" s="2">
        <f t="shared" ca="1" si="3"/>
        <v>5000</v>
      </c>
      <c r="AE31" s="2">
        <f t="shared" ca="1" si="3"/>
        <v>10000</v>
      </c>
      <c r="AF31" s="2">
        <f t="shared" ca="1" si="3"/>
        <v>10000</v>
      </c>
      <c r="AG31" s="2">
        <f t="shared" ca="1" si="3"/>
        <v>10000</v>
      </c>
      <c r="AH31" s="2">
        <f t="shared" ca="1" si="3"/>
        <v>10000</v>
      </c>
      <c r="AI31" s="2">
        <f t="shared" ca="1" si="3"/>
        <v>15000</v>
      </c>
      <c r="AJ31" s="2">
        <f t="shared" ca="1" si="3"/>
        <v>10000</v>
      </c>
      <c r="AK31" s="2">
        <f t="shared" ca="1" si="3"/>
        <v>15000</v>
      </c>
      <c r="AL31" s="2">
        <f t="shared" ca="1" si="3"/>
        <v>15000</v>
      </c>
      <c r="AM31" s="2">
        <f t="shared" ca="1" si="3"/>
        <v>20000</v>
      </c>
      <c r="AN31" s="2">
        <f t="shared" ca="1" si="3"/>
        <v>15000</v>
      </c>
      <c r="AO31" s="2">
        <f t="shared" ca="1" si="3"/>
        <v>20000</v>
      </c>
      <c r="AP31" s="2">
        <f t="shared" ca="1" si="3"/>
        <v>25000</v>
      </c>
      <c r="AQ31" s="2">
        <f t="shared" ca="1" si="3"/>
        <v>20000</v>
      </c>
      <c r="AR31" s="2">
        <f t="shared" ca="1" si="3"/>
        <v>25000</v>
      </c>
      <c r="AS31" s="2">
        <f t="shared" ca="1" si="3"/>
        <v>25000</v>
      </c>
      <c r="AT31" s="2">
        <f t="shared" ca="1" si="3"/>
        <v>25000</v>
      </c>
      <c r="AU31" s="2">
        <f t="shared" ca="1" si="3"/>
        <v>25000</v>
      </c>
      <c r="AV31" s="2">
        <f t="shared" ca="1" si="3"/>
        <v>30000</v>
      </c>
      <c r="AW31" s="2">
        <f t="shared" ca="1" si="3"/>
        <v>30000</v>
      </c>
      <c r="AX31" s="2">
        <f t="shared" ca="1" si="3"/>
        <v>35000</v>
      </c>
      <c r="AY31" s="2">
        <f t="shared" ca="1" si="3"/>
        <v>35000</v>
      </c>
      <c r="AZ31" s="2">
        <f t="shared" ca="1" si="3"/>
        <v>35000</v>
      </c>
      <c r="BA31" s="2">
        <f t="shared" ca="1" si="3"/>
        <v>40000</v>
      </c>
      <c r="BB31" s="2">
        <f t="shared" ca="1" si="3"/>
        <v>40000</v>
      </c>
      <c r="BC31" s="2">
        <f t="shared" ca="1" si="3"/>
        <v>45000</v>
      </c>
      <c r="BD31" s="2">
        <f t="shared" ca="1" si="3"/>
        <v>45000</v>
      </c>
      <c r="BE31" s="2">
        <f t="shared" ca="1" si="3"/>
        <v>50000</v>
      </c>
      <c r="BF31" s="2">
        <f t="shared" ca="1" si="3"/>
        <v>50000</v>
      </c>
      <c r="BG31" s="2">
        <f t="shared" ca="1" si="3"/>
        <v>55000</v>
      </c>
      <c r="BH31" s="2">
        <f t="shared" ca="1" si="3"/>
        <v>60000</v>
      </c>
      <c r="BI31" s="2">
        <f t="shared" ca="1" si="3"/>
        <v>60000</v>
      </c>
      <c r="BJ31" s="2">
        <f t="shared" ca="1" si="3"/>
        <v>65000</v>
      </c>
      <c r="BK31" s="2">
        <f t="shared" ca="1" si="3"/>
        <v>70000</v>
      </c>
      <c r="BL31" s="2">
        <f t="shared" ca="1" si="3"/>
        <v>75000</v>
      </c>
      <c r="BM31" s="2">
        <f t="shared" ca="1" si="3"/>
        <v>75000</v>
      </c>
      <c r="BN31" s="2">
        <f t="shared" ca="1" si="3"/>
        <v>85000</v>
      </c>
      <c r="BO31" s="2">
        <f t="shared" ca="1" si="3"/>
        <v>85000</v>
      </c>
      <c r="BP31" s="2">
        <f t="shared" ca="1" si="3"/>
        <v>95000</v>
      </c>
      <c r="BQ31" s="2">
        <f t="shared" ca="1" si="3"/>
        <v>100000</v>
      </c>
    </row>
    <row r="32" spans="1:69" outlineLevel="1">
      <c r="A32" s="18"/>
      <c r="B32" s="18"/>
      <c r="C32" s="28"/>
      <c r="D32" s="27"/>
      <c r="E32" s="4" t="str">
        <f xml:space="preserve">  Time!E$291</f>
        <v>Use short term forecast flag</v>
      </c>
      <c r="F32" s="4">
        <f xml:space="preserve">  Time!F$291</f>
        <v>0</v>
      </c>
      <c r="G32" s="4" t="str">
        <f xml:space="preserve">  Time!G$291</f>
        <v>flag</v>
      </c>
      <c r="H32" s="4">
        <f xml:space="preserve">  Time!H$291</f>
        <v>12</v>
      </c>
      <c r="I32" s="4">
        <f xml:space="preserve">  Time!I$291</f>
        <v>0</v>
      </c>
      <c r="J32" s="4">
        <f xml:space="preserve">  Time!J$291</f>
        <v>1</v>
      </c>
      <c r="K32" s="4">
        <f xml:space="preserve">  Time!K$291</f>
        <v>1</v>
      </c>
      <c r="L32" s="4">
        <f xml:space="preserve">  Time!L$291</f>
        <v>1</v>
      </c>
      <c r="M32" s="4">
        <f xml:space="preserve">  Time!M$291</f>
        <v>1</v>
      </c>
      <c r="N32" s="4">
        <f xml:space="preserve">  Time!N$291</f>
        <v>1</v>
      </c>
      <c r="O32" s="4">
        <f xml:space="preserve">  Time!O$291</f>
        <v>1</v>
      </c>
      <c r="P32" s="4">
        <f xml:space="preserve">  Time!P$291</f>
        <v>1</v>
      </c>
      <c r="Q32" s="4">
        <f xml:space="preserve">  Time!Q$291</f>
        <v>1</v>
      </c>
      <c r="R32" s="4">
        <f xml:space="preserve">  Time!R$291</f>
        <v>1</v>
      </c>
      <c r="S32" s="4">
        <f xml:space="preserve">  Time!S$291</f>
        <v>1</v>
      </c>
      <c r="T32" s="4">
        <f xml:space="preserve">  Time!T$291</f>
        <v>1</v>
      </c>
      <c r="U32" s="4">
        <f xml:space="preserve">  Time!U$291</f>
        <v>1</v>
      </c>
      <c r="V32" s="4">
        <f xml:space="preserve">  Time!V$291</f>
        <v>0</v>
      </c>
      <c r="W32" s="4">
        <f xml:space="preserve">  Time!W$291</f>
        <v>0</v>
      </c>
      <c r="X32" s="4">
        <f xml:space="preserve">  Time!X$291</f>
        <v>0</v>
      </c>
      <c r="Y32" s="4">
        <f xml:space="preserve">  Time!Y$291</f>
        <v>0</v>
      </c>
      <c r="Z32" s="4">
        <f xml:space="preserve">  Time!Z$291</f>
        <v>0</v>
      </c>
      <c r="AA32" s="4">
        <f xml:space="preserve">  Time!AA$291</f>
        <v>0</v>
      </c>
      <c r="AB32" s="4">
        <f xml:space="preserve">  Time!AB$291</f>
        <v>0</v>
      </c>
      <c r="AC32" s="4">
        <f xml:space="preserve">  Time!AC$291</f>
        <v>0</v>
      </c>
      <c r="AD32" s="4">
        <f xml:space="preserve">  Time!AD$291</f>
        <v>0</v>
      </c>
      <c r="AE32" s="4">
        <f xml:space="preserve">  Time!AE$291</f>
        <v>0</v>
      </c>
      <c r="AF32" s="4">
        <f xml:space="preserve">  Time!AF$291</f>
        <v>0</v>
      </c>
      <c r="AG32" s="4">
        <f xml:space="preserve">  Time!AG$291</f>
        <v>0</v>
      </c>
      <c r="AH32" s="4">
        <f xml:space="preserve">  Time!AH$291</f>
        <v>0</v>
      </c>
      <c r="AI32" s="4">
        <f xml:space="preserve">  Time!AI$291</f>
        <v>0</v>
      </c>
      <c r="AJ32" s="4">
        <f xml:space="preserve">  Time!AJ$291</f>
        <v>0</v>
      </c>
      <c r="AK32" s="4">
        <f xml:space="preserve">  Time!AK$291</f>
        <v>0</v>
      </c>
      <c r="AL32" s="4">
        <f xml:space="preserve">  Time!AL$291</f>
        <v>0</v>
      </c>
      <c r="AM32" s="4">
        <f xml:space="preserve">  Time!AM$291</f>
        <v>0</v>
      </c>
      <c r="AN32" s="4">
        <f xml:space="preserve">  Time!AN$291</f>
        <v>0</v>
      </c>
      <c r="AO32" s="4">
        <f xml:space="preserve">  Time!AO$291</f>
        <v>0</v>
      </c>
      <c r="AP32" s="4">
        <f xml:space="preserve">  Time!AP$291</f>
        <v>0</v>
      </c>
      <c r="AQ32" s="4">
        <f xml:space="preserve">  Time!AQ$291</f>
        <v>0</v>
      </c>
      <c r="AR32" s="4">
        <f xml:space="preserve">  Time!AR$291</f>
        <v>0</v>
      </c>
      <c r="AS32" s="4">
        <f xml:space="preserve">  Time!AS$291</f>
        <v>0</v>
      </c>
      <c r="AT32" s="4">
        <f xml:space="preserve">  Time!AT$291</f>
        <v>0</v>
      </c>
      <c r="AU32" s="4">
        <f xml:space="preserve">  Time!AU$291</f>
        <v>0</v>
      </c>
      <c r="AV32" s="4">
        <f xml:space="preserve">  Time!AV$291</f>
        <v>0</v>
      </c>
      <c r="AW32" s="4">
        <f xml:space="preserve">  Time!AW$291</f>
        <v>0</v>
      </c>
      <c r="AX32" s="4">
        <f xml:space="preserve">  Time!AX$291</f>
        <v>0</v>
      </c>
      <c r="AY32" s="4">
        <f xml:space="preserve">  Time!AY$291</f>
        <v>0</v>
      </c>
      <c r="AZ32" s="4">
        <f xml:space="preserve">  Time!AZ$291</f>
        <v>0</v>
      </c>
      <c r="BA32" s="4">
        <f xml:space="preserve">  Time!BA$291</f>
        <v>0</v>
      </c>
      <c r="BB32" s="4">
        <f xml:space="preserve">  Time!BB$291</f>
        <v>0</v>
      </c>
      <c r="BC32" s="4">
        <f xml:space="preserve">  Time!BC$291</f>
        <v>0</v>
      </c>
      <c r="BD32" s="4">
        <f xml:space="preserve">  Time!BD$291</f>
        <v>0</v>
      </c>
      <c r="BE32" s="4">
        <f xml:space="preserve">  Time!BE$291</f>
        <v>0</v>
      </c>
      <c r="BF32" s="4">
        <f xml:space="preserve">  Time!BF$291</f>
        <v>0</v>
      </c>
      <c r="BG32" s="4">
        <f xml:space="preserve">  Time!BG$291</f>
        <v>0</v>
      </c>
      <c r="BH32" s="4">
        <f xml:space="preserve">  Time!BH$291</f>
        <v>0</v>
      </c>
      <c r="BI32" s="4">
        <f xml:space="preserve">  Time!BI$291</f>
        <v>0</v>
      </c>
      <c r="BJ32" s="4">
        <f xml:space="preserve">  Time!BJ$291</f>
        <v>0</v>
      </c>
      <c r="BK32" s="4">
        <f xml:space="preserve">  Time!BK$291</f>
        <v>0</v>
      </c>
      <c r="BL32" s="4">
        <f xml:space="preserve">  Time!BL$291</f>
        <v>0</v>
      </c>
      <c r="BM32" s="4">
        <f xml:space="preserve">  Time!BM$291</f>
        <v>0</v>
      </c>
      <c r="BN32" s="4">
        <f xml:space="preserve">  Time!BN$291</f>
        <v>0</v>
      </c>
      <c r="BO32" s="4">
        <f xml:space="preserve">  Time!BO$291</f>
        <v>0</v>
      </c>
      <c r="BP32" s="4">
        <f xml:space="preserve">  Time!BP$291</f>
        <v>0</v>
      </c>
      <c r="BQ32" s="4">
        <f xml:space="preserve">  Time!BQ$291</f>
        <v>0</v>
      </c>
    </row>
    <row r="33" spans="1:69" outlineLevel="1">
      <c r="A33" s="34"/>
      <c r="B33" s="34"/>
      <c r="C33" s="64"/>
      <c r="D33" s="65"/>
      <c r="E33" s="21" t="s">
        <v>129</v>
      </c>
      <c r="F33" s="21"/>
      <c r="G33" s="21" t="s">
        <v>122</v>
      </c>
      <c r="H33" s="3">
        <f ca="1" xml:space="preserve"> SUM( J33:BQ33 )</f>
        <v>1650000</v>
      </c>
      <c r="I33" s="21"/>
      <c r="J33" s="3">
        <f t="shared" ref="J33:BQ33" si="4" xml:space="preserve">  IF( J32 = 1, J30, J31 )</f>
        <v>0</v>
      </c>
      <c r="K33" s="3">
        <f t="shared" si="4"/>
        <v>0</v>
      </c>
      <c r="L33" s="3">
        <f t="shared" si="4"/>
        <v>10000</v>
      </c>
      <c r="M33" s="3">
        <f t="shared" si="4"/>
        <v>10000</v>
      </c>
      <c r="N33" s="3">
        <f t="shared" si="4"/>
        <v>10000</v>
      </c>
      <c r="O33" s="3">
        <f t="shared" si="4"/>
        <v>0</v>
      </c>
      <c r="P33" s="3">
        <f t="shared" si="4"/>
        <v>10000</v>
      </c>
      <c r="Q33" s="3">
        <f t="shared" si="4"/>
        <v>0</v>
      </c>
      <c r="R33" s="3">
        <f t="shared" si="4"/>
        <v>10000</v>
      </c>
      <c r="S33" s="3">
        <f t="shared" si="4"/>
        <v>0</v>
      </c>
      <c r="T33" s="3">
        <f t="shared" si="4"/>
        <v>0</v>
      </c>
      <c r="U33" s="3">
        <f t="shared" si="4"/>
        <v>0</v>
      </c>
      <c r="V33" s="3">
        <f t="shared" ca="1" si="4"/>
        <v>0</v>
      </c>
      <c r="W33" s="3">
        <f t="shared" ca="1" si="4"/>
        <v>0</v>
      </c>
      <c r="X33" s="3">
        <f t="shared" ca="1" si="4"/>
        <v>5000</v>
      </c>
      <c r="Y33" s="3">
        <f t="shared" ca="1" si="4"/>
        <v>5000</v>
      </c>
      <c r="Z33" s="3">
        <f t="shared" ca="1" si="4"/>
        <v>5000</v>
      </c>
      <c r="AA33" s="3">
        <f t="shared" ca="1" si="4"/>
        <v>10000</v>
      </c>
      <c r="AB33" s="3">
        <f t="shared" ca="1" si="4"/>
        <v>5000</v>
      </c>
      <c r="AC33" s="3">
        <f t="shared" ca="1" si="4"/>
        <v>10000</v>
      </c>
      <c r="AD33" s="3">
        <f t="shared" ca="1" si="4"/>
        <v>5000</v>
      </c>
      <c r="AE33" s="3">
        <f t="shared" ca="1" si="4"/>
        <v>10000</v>
      </c>
      <c r="AF33" s="3">
        <f t="shared" ca="1" si="4"/>
        <v>10000</v>
      </c>
      <c r="AG33" s="3">
        <f t="shared" ca="1" si="4"/>
        <v>10000</v>
      </c>
      <c r="AH33" s="3">
        <f t="shared" ca="1" si="4"/>
        <v>10000</v>
      </c>
      <c r="AI33" s="3">
        <f t="shared" ca="1" si="4"/>
        <v>15000</v>
      </c>
      <c r="AJ33" s="3">
        <f t="shared" ca="1" si="4"/>
        <v>10000</v>
      </c>
      <c r="AK33" s="3">
        <f t="shared" ca="1" si="4"/>
        <v>15000</v>
      </c>
      <c r="AL33" s="3">
        <f t="shared" ca="1" si="4"/>
        <v>15000</v>
      </c>
      <c r="AM33" s="3">
        <f t="shared" ca="1" si="4"/>
        <v>20000</v>
      </c>
      <c r="AN33" s="3">
        <f t="shared" ca="1" si="4"/>
        <v>15000</v>
      </c>
      <c r="AO33" s="3">
        <f t="shared" ca="1" si="4"/>
        <v>20000</v>
      </c>
      <c r="AP33" s="3">
        <f t="shared" ca="1" si="4"/>
        <v>25000</v>
      </c>
      <c r="AQ33" s="3">
        <f t="shared" ca="1" si="4"/>
        <v>20000</v>
      </c>
      <c r="AR33" s="3">
        <f t="shared" ca="1" si="4"/>
        <v>25000</v>
      </c>
      <c r="AS33" s="3">
        <f t="shared" ca="1" si="4"/>
        <v>25000</v>
      </c>
      <c r="AT33" s="3">
        <f t="shared" ca="1" si="4"/>
        <v>25000</v>
      </c>
      <c r="AU33" s="3">
        <f t="shared" ca="1" si="4"/>
        <v>25000</v>
      </c>
      <c r="AV33" s="3">
        <f t="shared" ca="1" si="4"/>
        <v>30000</v>
      </c>
      <c r="AW33" s="3">
        <f t="shared" ca="1" si="4"/>
        <v>30000</v>
      </c>
      <c r="AX33" s="3">
        <f t="shared" ca="1" si="4"/>
        <v>35000</v>
      </c>
      <c r="AY33" s="3">
        <f t="shared" ca="1" si="4"/>
        <v>35000</v>
      </c>
      <c r="AZ33" s="3">
        <f t="shared" ca="1" si="4"/>
        <v>35000</v>
      </c>
      <c r="BA33" s="3">
        <f t="shared" ca="1" si="4"/>
        <v>40000</v>
      </c>
      <c r="BB33" s="3">
        <f t="shared" ca="1" si="4"/>
        <v>40000</v>
      </c>
      <c r="BC33" s="3">
        <f t="shared" ca="1" si="4"/>
        <v>45000</v>
      </c>
      <c r="BD33" s="3">
        <f t="shared" ca="1" si="4"/>
        <v>45000</v>
      </c>
      <c r="BE33" s="3">
        <f t="shared" ca="1" si="4"/>
        <v>50000</v>
      </c>
      <c r="BF33" s="3">
        <f t="shared" ca="1" si="4"/>
        <v>50000</v>
      </c>
      <c r="BG33" s="3">
        <f t="shared" ca="1" si="4"/>
        <v>55000</v>
      </c>
      <c r="BH33" s="3">
        <f t="shared" ca="1" si="4"/>
        <v>60000</v>
      </c>
      <c r="BI33" s="3">
        <f t="shared" ca="1" si="4"/>
        <v>60000</v>
      </c>
      <c r="BJ33" s="3">
        <f t="shared" ca="1" si="4"/>
        <v>65000</v>
      </c>
      <c r="BK33" s="3">
        <f t="shared" ca="1" si="4"/>
        <v>70000</v>
      </c>
      <c r="BL33" s="3">
        <f t="shared" ca="1" si="4"/>
        <v>75000</v>
      </c>
      <c r="BM33" s="3">
        <f t="shared" ca="1" si="4"/>
        <v>75000</v>
      </c>
      <c r="BN33" s="3">
        <f t="shared" ca="1" si="4"/>
        <v>85000</v>
      </c>
      <c r="BO33" s="3">
        <f t="shared" ca="1" si="4"/>
        <v>85000</v>
      </c>
      <c r="BP33" s="3">
        <f t="shared" ca="1" si="4"/>
        <v>95000</v>
      </c>
      <c r="BQ33" s="3">
        <f t="shared" ca="1" si="4"/>
        <v>100000</v>
      </c>
    </row>
    <row r="36" spans="1:69">
      <c r="B36" s="25" t="s">
        <v>199</v>
      </c>
    </row>
    <row r="37" spans="1:69" outlineLevel="1">
      <c r="A37" s="18"/>
      <c r="B37" s="18"/>
      <c r="C37" s="28"/>
      <c r="D37" s="27"/>
      <c r="E37" s="4" t="str">
        <f xml:space="preserve">  InpC!E$34</f>
        <v>Order lead time (months)</v>
      </c>
      <c r="F37" s="4">
        <f xml:space="preserve">  InpC!F$34</f>
        <v>6</v>
      </c>
      <c r="G37" s="4" t="str">
        <f xml:space="preserve">  InpC!G$34</f>
        <v>Months</v>
      </c>
      <c r="M37" s="2"/>
    </row>
    <row r="38" spans="1:69" outlineLevel="1">
      <c r="A38" s="18"/>
      <c r="B38" s="18"/>
      <c r="C38" s="28"/>
      <c r="D38" s="27"/>
      <c r="E38" s="4" t="str">
        <f xml:space="preserve">  InpS!E$14</f>
        <v>STF Units delivered</v>
      </c>
      <c r="F38" s="4">
        <f xml:space="preserve">  InpS!F$14</f>
        <v>0</v>
      </c>
      <c r="G38" s="4" t="str">
        <f xml:space="preserve">  InpS!G$14</f>
        <v>GBP</v>
      </c>
      <c r="H38" s="4">
        <f xml:space="preserve">  InpS!H$14</f>
        <v>35000</v>
      </c>
      <c r="I38" s="4">
        <f xml:space="preserve">  InpS!I$14</f>
        <v>0</v>
      </c>
      <c r="J38" s="4">
        <f xml:space="preserve">  InpS!J$14</f>
        <v>0</v>
      </c>
      <c r="K38" s="4">
        <f xml:space="preserve">  InpS!K$14</f>
        <v>5000</v>
      </c>
      <c r="L38" s="4">
        <f xml:space="preserve">  InpS!L$14</f>
        <v>0</v>
      </c>
      <c r="M38" s="4">
        <f xml:space="preserve">  InpS!M$14</f>
        <v>0</v>
      </c>
      <c r="N38" s="4">
        <f xml:space="preserve">  InpS!N$14</f>
        <v>0</v>
      </c>
      <c r="O38" s="4">
        <f xml:space="preserve">  InpS!O$14</f>
        <v>10000</v>
      </c>
      <c r="P38" s="4">
        <f xml:space="preserve">  InpS!P$14</f>
        <v>0</v>
      </c>
      <c r="Q38" s="4">
        <f xml:space="preserve">  InpS!Q$14</f>
        <v>0</v>
      </c>
      <c r="R38" s="4">
        <f xml:space="preserve">  InpS!R$14</f>
        <v>0</v>
      </c>
      <c r="S38" s="4">
        <f xml:space="preserve">  InpS!S$14</f>
        <v>10000</v>
      </c>
      <c r="T38" s="4">
        <f xml:space="preserve">  InpS!T$14</f>
        <v>0</v>
      </c>
      <c r="U38" s="4">
        <f xml:space="preserve">  InpS!U$14</f>
        <v>10000</v>
      </c>
      <c r="V38" s="4">
        <f xml:space="preserve">  InpS!V$14</f>
        <v>0</v>
      </c>
      <c r="W38" s="4">
        <f xml:space="preserve">  InpS!W$14</f>
        <v>0</v>
      </c>
      <c r="X38" s="4">
        <f xml:space="preserve">  InpS!X$14</f>
        <v>0</v>
      </c>
      <c r="Y38" s="4">
        <f xml:space="preserve">  InpS!Y$14</f>
        <v>0</v>
      </c>
      <c r="Z38" s="4">
        <f xml:space="preserve">  InpS!Z$14</f>
        <v>0</v>
      </c>
      <c r="AA38" s="4">
        <f xml:space="preserve">  InpS!AA$14</f>
        <v>0</v>
      </c>
      <c r="AB38" s="4">
        <f xml:space="preserve">  InpS!AB$14</f>
        <v>0</v>
      </c>
      <c r="AC38" s="4">
        <f xml:space="preserve">  InpS!AC$14</f>
        <v>0</v>
      </c>
      <c r="AD38" s="4">
        <f xml:space="preserve">  InpS!AD$14</f>
        <v>0</v>
      </c>
      <c r="AE38" s="4">
        <f xml:space="preserve">  InpS!AE$14</f>
        <v>0</v>
      </c>
      <c r="AF38" s="4">
        <f xml:space="preserve">  InpS!AF$14</f>
        <v>0</v>
      </c>
      <c r="AG38" s="4">
        <f xml:space="preserve">  InpS!AG$14</f>
        <v>0</v>
      </c>
      <c r="AH38" s="4">
        <f xml:space="preserve">  InpS!AH$14</f>
        <v>0</v>
      </c>
      <c r="AI38" s="4">
        <f xml:space="preserve">  InpS!AI$14</f>
        <v>0</v>
      </c>
      <c r="AJ38" s="4">
        <f xml:space="preserve">  InpS!AJ$14</f>
        <v>0</v>
      </c>
      <c r="AK38" s="4">
        <f xml:space="preserve">  InpS!AK$14</f>
        <v>0</v>
      </c>
      <c r="AL38" s="4">
        <f xml:space="preserve">  InpS!AL$14</f>
        <v>0</v>
      </c>
      <c r="AM38" s="4">
        <f xml:space="preserve">  InpS!AM$14</f>
        <v>0</v>
      </c>
      <c r="AN38" s="4">
        <f xml:space="preserve">  InpS!AN$14</f>
        <v>0</v>
      </c>
      <c r="AO38" s="4">
        <f xml:space="preserve">  InpS!AO$14</f>
        <v>0</v>
      </c>
      <c r="AP38" s="4">
        <f xml:space="preserve">  InpS!AP$14</f>
        <v>0</v>
      </c>
      <c r="AQ38" s="4">
        <f xml:space="preserve">  InpS!AQ$14</f>
        <v>0</v>
      </c>
      <c r="AR38" s="4">
        <f xml:space="preserve">  InpS!AR$14</f>
        <v>0</v>
      </c>
      <c r="AS38" s="4">
        <f xml:space="preserve">  InpS!AS$14</f>
        <v>0</v>
      </c>
      <c r="AT38" s="4">
        <f xml:space="preserve">  InpS!AT$14</f>
        <v>0</v>
      </c>
      <c r="AU38" s="4">
        <f xml:space="preserve">  InpS!AU$14</f>
        <v>0</v>
      </c>
      <c r="AV38" s="4">
        <f xml:space="preserve">  InpS!AV$14</f>
        <v>0</v>
      </c>
      <c r="AW38" s="4">
        <f xml:space="preserve">  InpS!AW$14</f>
        <v>0</v>
      </c>
      <c r="AX38" s="4">
        <f xml:space="preserve">  InpS!AX$14</f>
        <v>0</v>
      </c>
      <c r="AY38" s="4">
        <f xml:space="preserve">  InpS!AY$14</f>
        <v>0</v>
      </c>
      <c r="AZ38" s="4">
        <f xml:space="preserve">  InpS!AZ$14</f>
        <v>0</v>
      </c>
      <c r="BA38" s="4">
        <f xml:space="preserve">  InpS!BA$14</f>
        <v>0</v>
      </c>
      <c r="BB38" s="4">
        <f xml:space="preserve">  InpS!BB$14</f>
        <v>0</v>
      </c>
      <c r="BC38" s="4">
        <f xml:space="preserve">  InpS!BC$14</f>
        <v>0</v>
      </c>
      <c r="BD38" s="4">
        <f xml:space="preserve">  InpS!BD$14</f>
        <v>0</v>
      </c>
      <c r="BE38" s="4">
        <f xml:space="preserve">  InpS!BE$14</f>
        <v>0</v>
      </c>
      <c r="BF38" s="4">
        <f xml:space="preserve">  InpS!BF$14</f>
        <v>0</v>
      </c>
      <c r="BG38" s="4">
        <f xml:space="preserve">  InpS!BG$14</f>
        <v>0</v>
      </c>
      <c r="BH38" s="4">
        <f xml:space="preserve">  InpS!BH$14</f>
        <v>0</v>
      </c>
      <c r="BI38" s="4">
        <f xml:space="preserve">  InpS!BI$14</f>
        <v>0</v>
      </c>
      <c r="BJ38" s="4">
        <f xml:space="preserve">  InpS!BJ$14</f>
        <v>0</v>
      </c>
      <c r="BK38" s="4">
        <f xml:space="preserve">  InpS!BK$14</f>
        <v>0</v>
      </c>
      <c r="BL38" s="4">
        <f xml:space="preserve">  InpS!BL$14</f>
        <v>0</v>
      </c>
      <c r="BM38" s="4">
        <f xml:space="preserve">  InpS!BM$14</f>
        <v>0</v>
      </c>
      <c r="BN38" s="4">
        <f xml:space="preserve">  InpS!BN$14</f>
        <v>0</v>
      </c>
      <c r="BO38" s="4">
        <f xml:space="preserve">  InpS!BO$14</f>
        <v>0</v>
      </c>
      <c r="BP38" s="4">
        <f xml:space="preserve">  InpS!BP$14</f>
        <v>0</v>
      </c>
      <c r="BQ38" s="4">
        <f xml:space="preserve">  InpS!BQ$14</f>
        <v>0</v>
      </c>
    </row>
    <row r="39" spans="1:69" outlineLevel="1">
      <c r="E39" s="2" t="str">
        <f t="shared" ref="E39:BQ39" si="5" xml:space="preserve">  E$33</f>
        <v>Units ordered</v>
      </c>
      <c r="F39" s="2">
        <f t="shared" si="5"/>
        <v>0</v>
      </c>
      <c r="G39" s="2" t="str">
        <f t="shared" si="5"/>
        <v>Units</v>
      </c>
      <c r="H39" s="2">
        <f t="shared" ca="1" si="5"/>
        <v>1650000</v>
      </c>
      <c r="I39" s="2">
        <f t="shared" si="5"/>
        <v>0</v>
      </c>
      <c r="J39" s="2">
        <f t="shared" si="5"/>
        <v>0</v>
      </c>
      <c r="K39" s="2">
        <f t="shared" si="5"/>
        <v>0</v>
      </c>
      <c r="L39" s="2">
        <f t="shared" si="5"/>
        <v>10000</v>
      </c>
      <c r="M39" s="2">
        <f t="shared" si="5"/>
        <v>10000</v>
      </c>
      <c r="N39" s="2">
        <f t="shared" si="5"/>
        <v>10000</v>
      </c>
      <c r="O39" s="2">
        <f t="shared" si="5"/>
        <v>0</v>
      </c>
      <c r="P39" s="2">
        <f t="shared" si="5"/>
        <v>10000</v>
      </c>
      <c r="Q39" s="2">
        <f t="shared" si="5"/>
        <v>0</v>
      </c>
      <c r="R39" s="2">
        <f t="shared" si="5"/>
        <v>10000</v>
      </c>
      <c r="S39" s="2">
        <f t="shared" si="5"/>
        <v>0</v>
      </c>
      <c r="T39" s="2">
        <f t="shared" si="5"/>
        <v>0</v>
      </c>
      <c r="U39" s="2">
        <f t="shared" si="5"/>
        <v>0</v>
      </c>
      <c r="V39" s="2">
        <f t="shared" ca="1" si="5"/>
        <v>0</v>
      </c>
      <c r="W39" s="2">
        <f t="shared" ca="1" si="5"/>
        <v>0</v>
      </c>
      <c r="X39" s="2">
        <f t="shared" ca="1" si="5"/>
        <v>5000</v>
      </c>
      <c r="Y39" s="2">
        <f t="shared" ca="1" si="5"/>
        <v>5000</v>
      </c>
      <c r="Z39" s="2">
        <f t="shared" ca="1" si="5"/>
        <v>5000</v>
      </c>
      <c r="AA39" s="2">
        <f t="shared" ca="1" si="5"/>
        <v>10000</v>
      </c>
      <c r="AB39" s="2">
        <f t="shared" ca="1" si="5"/>
        <v>5000</v>
      </c>
      <c r="AC39" s="2">
        <f t="shared" ca="1" si="5"/>
        <v>10000</v>
      </c>
      <c r="AD39" s="2">
        <f t="shared" ca="1" si="5"/>
        <v>5000</v>
      </c>
      <c r="AE39" s="2">
        <f t="shared" ca="1" si="5"/>
        <v>10000</v>
      </c>
      <c r="AF39" s="2">
        <f t="shared" ca="1" si="5"/>
        <v>10000</v>
      </c>
      <c r="AG39" s="2">
        <f t="shared" ca="1" si="5"/>
        <v>10000</v>
      </c>
      <c r="AH39" s="2">
        <f t="shared" ca="1" si="5"/>
        <v>10000</v>
      </c>
      <c r="AI39" s="2">
        <f t="shared" ca="1" si="5"/>
        <v>15000</v>
      </c>
      <c r="AJ39" s="2">
        <f t="shared" ca="1" si="5"/>
        <v>10000</v>
      </c>
      <c r="AK39" s="2">
        <f t="shared" ca="1" si="5"/>
        <v>15000</v>
      </c>
      <c r="AL39" s="2">
        <f t="shared" ca="1" si="5"/>
        <v>15000</v>
      </c>
      <c r="AM39" s="2">
        <f t="shared" ca="1" si="5"/>
        <v>20000</v>
      </c>
      <c r="AN39" s="2">
        <f t="shared" ca="1" si="5"/>
        <v>15000</v>
      </c>
      <c r="AO39" s="2">
        <f t="shared" ca="1" si="5"/>
        <v>20000</v>
      </c>
      <c r="AP39" s="2">
        <f t="shared" ca="1" si="5"/>
        <v>25000</v>
      </c>
      <c r="AQ39" s="2">
        <f t="shared" ca="1" si="5"/>
        <v>20000</v>
      </c>
      <c r="AR39" s="2">
        <f t="shared" ca="1" si="5"/>
        <v>25000</v>
      </c>
      <c r="AS39" s="2">
        <f t="shared" ca="1" si="5"/>
        <v>25000</v>
      </c>
      <c r="AT39" s="2">
        <f t="shared" ca="1" si="5"/>
        <v>25000</v>
      </c>
      <c r="AU39" s="2">
        <f t="shared" ca="1" si="5"/>
        <v>25000</v>
      </c>
      <c r="AV39" s="2">
        <f t="shared" ca="1" si="5"/>
        <v>30000</v>
      </c>
      <c r="AW39" s="2">
        <f t="shared" ca="1" si="5"/>
        <v>30000</v>
      </c>
      <c r="AX39" s="2">
        <f t="shared" ca="1" si="5"/>
        <v>35000</v>
      </c>
      <c r="AY39" s="2">
        <f t="shared" ca="1" si="5"/>
        <v>35000</v>
      </c>
      <c r="AZ39" s="2">
        <f t="shared" ca="1" si="5"/>
        <v>35000</v>
      </c>
      <c r="BA39" s="2">
        <f t="shared" ca="1" si="5"/>
        <v>40000</v>
      </c>
      <c r="BB39" s="2">
        <f t="shared" ca="1" si="5"/>
        <v>40000</v>
      </c>
      <c r="BC39" s="2">
        <f t="shared" ca="1" si="5"/>
        <v>45000</v>
      </c>
      <c r="BD39" s="2">
        <f t="shared" ca="1" si="5"/>
        <v>45000</v>
      </c>
      <c r="BE39" s="2">
        <f t="shared" ca="1" si="5"/>
        <v>50000</v>
      </c>
      <c r="BF39" s="2">
        <f t="shared" ca="1" si="5"/>
        <v>50000</v>
      </c>
      <c r="BG39" s="2">
        <f t="shared" ca="1" si="5"/>
        <v>55000</v>
      </c>
      <c r="BH39" s="2">
        <f t="shared" ca="1" si="5"/>
        <v>60000</v>
      </c>
      <c r="BI39" s="2">
        <f t="shared" ca="1" si="5"/>
        <v>60000</v>
      </c>
      <c r="BJ39" s="2">
        <f t="shared" ca="1" si="5"/>
        <v>65000</v>
      </c>
      <c r="BK39" s="2">
        <f t="shared" ca="1" si="5"/>
        <v>70000</v>
      </c>
      <c r="BL39" s="2">
        <f t="shared" ca="1" si="5"/>
        <v>75000</v>
      </c>
      <c r="BM39" s="2">
        <f t="shared" ca="1" si="5"/>
        <v>75000</v>
      </c>
      <c r="BN39" s="2">
        <f t="shared" ca="1" si="5"/>
        <v>85000</v>
      </c>
      <c r="BO39" s="2">
        <f t="shared" ca="1" si="5"/>
        <v>85000</v>
      </c>
      <c r="BP39" s="2">
        <f t="shared" ca="1" si="5"/>
        <v>95000</v>
      </c>
      <c r="BQ39" s="2">
        <f t="shared" ca="1" si="5"/>
        <v>100000</v>
      </c>
    </row>
    <row r="40" spans="1:69" outlineLevel="1">
      <c r="A40" s="18"/>
      <c r="B40" s="18"/>
      <c r="C40" s="28"/>
      <c r="D40" s="27"/>
      <c r="E40" s="4" t="str">
        <f xml:space="preserve">  Time!E$291</f>
        <v>Use short term forecast flag</v>
      </c>
      <c r="F40" s="4">
        <f xml:space="preserve">  Time!F$291</f>
        <v>0</v>
      </c>
      <c r="G40" s="4" t="str">
        <f xml:space="preserve">  Time!G$291</f>
        <v>flag</v>
      </c>
      <c r="H40" s="4">
        <f xml:space="preserve">  Time!H$291</f>
        <v>12</v>
      </c>
      <c r="I40" s="4">
        <f xml:space="preserve">  Time!I$291</f>
        <v>0</v>
      </c>
      <c r="J40" s="4">
        <f xml:space="preserve">  Time!J$291</f>
        <v>1</v>
      </c>
      <c r="K40" s="4">
        <f xml:space="preserve">  Time!K$291</f>
        <v>1</v>
      </c>
      <c r="L40" s="4">
        <f xml:space="preserve">  Time!L$291</f>
        <v>1</v>
      </c>
      <c r="M40" s="4">
        <f xml:space="preserve">  Time!M$291</f>
        <v>1</v>
      </c>
      <c r="N40" s="4">
        <f xml:space="preserve">  Time!N$291</f>
        <v>1</v>
      </c>
      <c r="O40" s="4">
        <f xml:space="preserve">  Time!O$291</f>
        <v>1</v>
      </c>
      <c r="P40" s="4">
        <f xml:space="preserve">  Time!P$291</f>
        <v>1</v>
      </c>
      <c r="Q40" s="4">
        <f xml:space="preserve">  Time!Q$291</f>
        <v>1</v>
      </c>
      <c r="R40" s="4">
        <f xml:space="preserve">  Time!R$291</f>
        <v>1</v>
      </c>
      <c r="S40" s="4">
        <f xml:space="preserve">  Time!S$291</f>
        <v>1</v>
      </c>
      <c r="T40" s="4">
        <f xml:space="preserve">  Time!T$291</f>
        <v>1</v>
      </c>
      <c r="U40" s="4">
        <f xml:space="preserve">  Time!U$291</f>
        <v>1</v>
      </c>
      <c r="V40" s="4">
        <f xml:space="preserve">  Time!V$291</f>
        <v>0</v>
      </c>
      <c r="W40" s="4">
        <f xml:space="preserve">  Time!W$291</f>
        <v>0</v>
      </c>
      <c r="X40" s="4">
        <f xml:space="preserve">  Time!X$291</f>
        <v>0</v>
      </c>
      <c r="Y40" s="4">
        <f xml:space="preserve">  Time!Y$291</f>
        <v>0</v>
      </c>
      <c r="Z40" s="4">
        <f xml:space="preserve">  Time!Z$291</f>
        <v>0</v>
      </c>
      <c r="AA40" s="4">
        <f xml:space="preserve">  Time!AA$291</f>
        <v>0</v>
      </c>
      <c r="AB40" s="4">
        <f xml:space="preserve">  Time!AB$291</f>
        <v>0</v>
      </c>
      <c r="AC40" s="4">
        <f xml:space="preserve">  Time!AC$291</f>
        <v>0</v>
      </c>
      <c r="AD40" s="4">
        <f xml:space="preserve">  Time!AD$291</f>
        <v>0</v>
      </c>
      <c r="AE40" s="4">
        <f xml:space="preserve">  Time!AE$291</f>
        <v>0</v>
      </c>
      <c r="AF40" s="4">
        <f xml:space="preserve">  Time!AF$291</f>
        <v>0</v>
      </c>
      <c r="AG40" s="4">
        <f xml:space="preserve">  Time!AG$291</f>
        <v>0</v>
      </c>
      <c r="AH40" s="4">
        <f xml:space="preserve">  Time!AH$291</f>
        <v>0</v>
      </c>
      <c r="AI40" s="4">
        <f xml:space="preserve">  Time!AI$291</f>
        <v>0</v>
      </c>
      <c r="AJ40" s="4">
        <f xml:space="preserve">  Time!AJ$291</f>
        <v>0</v>
      </c>
      <c r="AK40" s="4">
        <f xml:space="preserve">  Time!AK$291</f>
        <v>0</v>
      </c>
      <c r="AL40" s="4">
        <f xml:space="preserve">  Time!AL$291</f>
        <v>0</v>
      </c>
      <c r="AM40" s="4">
        <f xml:space="preserve">  Time!AM$291</f>
        <v>0</v>
      </c>
      <c r="AN40" s="4">
        <f xml:space="preserve">  Time!AN$291</f>
        <v>0</v>
      </c>
      <c r="AO40" s="4">
        <f xml:space="preserve">  Time!AO$291</f>
        <v>0</v>
      </c>
      <c r="AP40" s="4">
        <f xml:space="preserve">  Time!AP$291</f>
        <v>0</v>
      </c>
      <c r="AQ40" s="4">
        <f xml:space="preserve">  Time!AQ$291</f>
        <v>0</v>
      </c>
      <c r="AR40" s="4">
        <f xml:space="preserve">  Time!AR$291</f>
        <v>0</v>
      </c>
      <c r="AS40" s="4">
        <f xml:space="preserve">  Time!AS$291</f>
        <v>0</v>
      </c>
      <c r="AT40" s="4">
        <f xml:space="preserve">  Time!AT$291</f>
        <v>0</v>
      </c>
      <c r="AU40" s="4">
        <f xml:space="preserve">  Time!AU$291</f>
        <v>0</v>
      </c>
      <c r="AV40" s="4">
        <f xml:space="preserve">  Time!AV$291</f>
        <v>0</v>
      </c>
      <c r="AW40" s="4">
        <f xml:space="preserve">  Time!AW$291</f>
        <v>0</v>
      </c>
      <c r="AX40" s="4">
        <f xml:space="preserve">  Time!AX$291</f>
        <v>0</v>
      </c>
      <c r="AY40" s="4">
        <f xml:space="preserve">  Time!AY$291</f>
        <v>0</v>
      </c>
      <c r="AZ40" s="4">
        <f xml:space="preserve">  Time!AZ$291</f>
        <v>0</v>
      </c>
      <c r="BA40" s="4">
        <f xml:space="preserve">  Time!BA$291</f>
        <v>0</v>
      </c>
      <c r="BB40" s="4">
        <f xml:space="preserve">  Time!BB$291</f>
        <v>0</v>
      </c>
      <c r="BC40" s="4">
        <f xml:space="preserve">  Time!BC$291</f>
        <v>0</v>
      </c>
      <c r="BD40" s="4">
        <f xml:space="preserve">  Time!BD$291</f>
        <v>0</v>
      </c>
      <c r="BE40" s="4">
        <f xml:space="preserve">  Time!BE$291</f>
        <v>0</v>
      </c>
      <c r="BF40" s="4">
        <f xml:space="preserve">  Time!BF$291</f>
        <v>0</v>
      </c>
      <c r="BG40" s="4">
        <f xml:space="preserve">  Time!BG$291</f>
        <v>0</v>
      </c>
      <c r="BH40" s="4">
        <f xml:space="preserve">  Time!BH$291</f>
        <v>0</v>
      </c>
      <c r="BI40" s="4">
        <f xml:space="preserve">  Time!BI$291</f>
        <v>0</v>
      </c>
      <c r="BJ40" s="4">
        <f xml:space="preserve">  Time!BJ$291</f>
        <v>0</v>
      </c>
      <c r="BK40" s="4">
        <f xml:space="preserve">  Time!BK$291</f>
        <v>0</v>
      </c>
      <c r="BL40" s="4">
        <f xml:space="preserve">  Time!BL$291</f>
        <v>0</v>
      </c>
      <c r="BM40" s="4">
        <f xml:space="preserve">  Time!BM$291</f>
        <v>0</v>
      </c>
      <c r="BN40" s="4">
        <f xml:space="preserve">  Time!BN$291</f>
        <v>0</v>
      </c>
      <c r="BO40" s="4">
        <f xml:space="preserve">  Time!BO$291</f>
        <v>0</v>
      </c>
      <c r="BP40" s="4">
        <f xml:space="preserve">  Time!BP$291</f>
        <v>0</v>
      </c>
      <c r="BQ40" s="4">
        <f xml:space="preserve">  Time!BQ$291</f>
        <v>0</v>
      </c>
    </row>
    <row r="41" spans="1:69" outlineLevel="1">
      <c r="A41" s="34"/>
      <c r="B41" s="34"/>
      <c r="C41" s="64"/>
      <c r="D41" s="65"/>
      <c r="E41" s="21" t="s">
        <v>199</v>
      </c>
      <c r="F41" s="21"/>
      <c r="G41" s="21" t="s">
        <v>122</v>
      </c>
      <c r="H41" s="3">
        <f ca="1" xml:space="preserve"> SUM( J41:BQ41 )</f>
        <v>1140000</v>
      </c>
      <c r="I41" s="21"/>
      <c r="J41" s="3">
        <f ca="1" xml:space="preserve">  IF( J40 = 1, J38, IF( Time!J28 &lt; 1 + $F37, 0, OFFSET( J39, 0, - 1 * ( $F37 ) ) ) )</f>
        <v>0</v>
      </c>
      <c r="K41" s="3">
        <f ca="1" xml:space="preserve">  IF( K40 = 1, K38, IF( Time!K28 &lt; 1 + $F37, 0, OFFSET( K39, 0, - 1 * ( $F37 ) ) ) )</f>
        <v>5000</v>
      </c>
      <c r="L41" s="3">
        <f ca="1" xml:space="preserve">  IF( L40 = 1, L38, IF( Time!L28 &lt; 1 + $F37, 0, OFFSET( L39, 0, - 1 * ( $F37 ) ) ) )</f>
        <v>0</v>
      </c>
      <c r="M41" s="3">
        <f ca="1" xml:space="preserve">  IF( M40 = 1, M38, IF( Time!M28 &lt; 1 + $F37, 0, OFFSET( M39, 0, - 1 * ( $F37 ) ) ) )</f>
        <v>0</v>
      </c>
      <c r="N41" s="3">
        <f ca="1" xml:space="preserve">  IF( N40 = 1, N38, IF( Time!N28 &lt; 1 + $F37, 0, OFFSET( N39, 0, - 1 * ( $F37 ) ) ) )</f>
        <v>0</v>
      </c>
      <c r="O41" s="3">
        <f ca="1" xml:space="preserve">  IF( O40 = 1, O38, IF( Time!O28 &lt; 1 + $F37, 0, OFFSET( O39, 0, - 1 * ( $F37 ) ) ) )</f>
        <v>10000</v>
      </c>
      <c r="P41" s="3">
        <f ca="1" xml:space="preserve">  IF( P40 = 1, P38, IF( Time!P28 &lt; 1 + $F37, 0, OFFSET( P39, 0, - 1 * ( $F37 ) ) ) )</f>
        <v>0</v>
      </c>
      <c r="Q41" s="3">
        <f ca="1" xml:space="preserve">  IF( Q40 = 1, Q38, IF( Time!Q28 &lt; 1 + $F37, 0, OFFSET( Q39, 0, - 1 * ( $F37 ) ) ) )</f>
        <v>0</v>
      </c>
      <c r="R41" s="3">
        <f ca="1" xml:space="preserve">  IF( R40 = 1, R38, IF( Time!R28 &lt; 1 + $F37, 0, OFFSET( R39, 0, - 1 * ( $F37 ) ) ) )</f>
        <v>0</v>
      </c>
      <c r="S41" s="3">
        <f ca="1" xml:space="preserve">  IF( S40 = 1, S38, IF( Time!S28 &lt; 1 + $F37, 0, OFFSET( S39, 0, - 1 * ( $F37 ) ) ) )</f>
        <v>10000</v>
      </c>
      <c r="T41" s="3">
        <f ca="1" xml:space="preserve">  IF( T40 = 1, T38, IF( Time!T28 &lt; 1 + $F37, 0, OFFSET( T39, 0, - 1 * ( $F37 ) ) ) )</f>
        <v>0</v>
      </c>
      <c r="U41" s="3">
        <f ca="1" xml:space="preserve">  IF( U40 = 1, U38, IF( Time!U28 &lt; 1 + $F37, 0, OFFSET( U39, 0, - 1 * ( $F37 ) ) ) )</f>
        <v>10000</v>
      </c>
      <c r="V41" s="3">
        <f ca="1" xml:space="preserve">  IF( V40 = 1, V38, IF( Time!V28 &lt; 1 + $F37, 0, OFFSET( V39, 0, - 1 * ( $F37 ) ) ) )</f>
        <v>10000</v>
      </c>
      <c r="W41" s="3">
        <f ca="1" xml:space="preserve">  IF( W40 = 1, W38, IF( Time!W28 &lt; 1 + $F37, 0, OFFSET( W39, 0, - 1 * ( $F37 ) ) ) )</f>
        <v>0</v>
      </c>
      <c r="X41" s="3">
        <f ca="1" xml:space="preserve">  IF( X40 = 1, X38, IF( Time!X28 &lt; 1 + $F37, 0, OFFSET( X39, 0, - 1 * ( $F37 ) ) ) )</f>
        <v>10000</v>
      </c>
      <c r="Y41" s="3">
        <f ca="1" xml:space="preserve">  IF( Y40 = 1, Y38, IF( Time!Y28 &lt; 1 + $F37, 0, OFFSET( Y39, 0, - 1 * ( $F37 ) ) ) )</f>
        <v>0</v>
      </c>
      <c r="Z41" s="3">
        <f ca="1" xml:space="preserve">  IF( Z40 = 1, Z38, IF( Time!Z28 &lt; 1 + $F37, 0, OFFSET( Z39, 0, - 1 * ( $F37 ) ) ) )</f>
        <v>0</v>
      </c>
      <c r="AA41" s="3">
        <f ca="1" xml:space="preserve">  IF( AA40 = 1, AA38, IF( Time!AA28 &lt; 1 + $F37, 0, OFFSET( AA39, 0, - 1 * ( $F37 ) ) ) )</f>
        <v>0</v>
      </c>
      <c r="AB41" s="3">
        <f ca="1" xml:space="preserve">  IF( AB40 = 1, AB38, IF( Time!AB28 &lt; 1 + $F37, 0, OFFSET( AB39, 0, - 1 * ( $F37 ) ) ) )</f>
        <v>0</v>
      </c>
      <c r="AC41" s="3">
        <f ca="1" xml:space="preserve">  IF( AC40 = 1, AC38, IF( Time!AC28 &lt; 1 + $F37, 0, OFFSET( AC39, 0, - 1 * ( $F37 ) ) ) )</f>
        <v>0</v>
      </c>
      <c r="AD41" s="3">
        <f ca="1" xml:space="preserve">  IF( AD40 = 1, AD38, IF( Time!AD28 &lt; 1 + $F37, 0, OFFSET( AD39, 0, - 1 * ( $F37 ) ) ) )</f>
        <v>5000</v>
      </c>
      <c r="AE41" s="3">
        <f ca="1" xml:space="preserve">  IF( AE40 = 1, AE38, IF( Time!AE28 &lt; 1 + $F37, 0, OFFSET( AE39, 0, - 1 * ( $F37 ) ) ) )</f>
        <v>5000</v>
      </c>
      <c r="AF41" s="3">
        <f ca="1" xml:space="preserve">  IF( AF40 = 1, AF38, IF( Time!AF28 &lt; 1 + $F37, 0, OFFSET( AF39, 0, - 1 * ( $F37 ) ) ) )</f>
        <v>5000</v>
      </c>
      <c r="AG41" s="3">
        <f ca="1" xml:space="preserve">  IF( AG40 = 1, AG38, IF( Time!AG28 &lt; 1 + $F37, 0, OFFSET( AG39, 0, - 1 * ( $F37 ) ) ) )</f>
        <v>10000</v>
      </c>
      <c r="AH41" s="3">
        <f ca="1" xml:space="preserve">  IF( AH40 = 1, AH38, IF( Time!AH28 &lt; 1 + $F37, 0, OFFSET( AH39, 0, - 1 * ( $F37 ) ) ) )</f>
        <v>5000</v>
      </c>
      <c r="AI41" s="3">
        <f ca="1" xml:space="preserve">  IF( AI40 = 1, AI38, IF( Time!AI28 &lt; 1 + $F37, 0, OFFSET( AI39, 0, - 1 * ( $F37 ) ) ) )</f>
        <v>10000</v>
      </c>
      <c r="AJ41" s="3">
        <f ca="1" xml:space="preserve">  IF( AJ40 = 1, AJ38, IF( Time!AJ28 &lt; 1 + $F37, 0, OFFSET( AJ39, 0, - 1 * ( $F37 ) ) ) )</f>
        <v>5000</v>
      </c>
      <c r="AK41" s="3">
        <f ca="1" xml:space="preserve">  IF( AK40 = 1, AK38, IF( Time!AK28 &lt; 1 + $F37, 0, OFFSET( AK39, 0, - 1 * ( $F37 ) ) ) )</f>
        <v>10000</v>
      </c>
      <c r="AL41" s="3">
        <f ca="1" xml:space="preserve">  IF( AL40 = 1, AL38, IF( Time!AL28 &lt; 1 + $F37, 0, OFFSET( AL39, 0, - 1 * ( $F37 ) ) ) )</f>
        <v>10000</v>
      </c>
      <c r="AM41" s="3">
        <f ca="1" xml:space="preserve">  IF( AM40 = 1, AM38, IF( Time!AM28 &lt; 1 + $F37, 0, OFFSET( AM39, 0, - 1 * ( $F37 ) ) ) )</f>
        <v>10000</v>
      </c>
      <c r="AN41" s="3">
        <f ca="1" xml:space="preserve">  IF( AN40 = 1, AN38, IF( Time!AN28 &lt; 1 + $F37, 0, OFFSET( AN39, 0, - 1 * ( $F37 ) ) ) )</f>
        <v>10000</v>
      </c>
      <c r="AO41" s="3">
        <f ca="1" xml:space="preserve">  IF( AO40 = 1, AO38, IF( Time!AO28 &lt; 1 + $F37, 0, OFFSET( AO39, 0, - 1 * ( $F37 ) ) ) )</f>
        <v>15000</v>
      </c>
      <c r="AP41" s="3">
        <f ca="1" xml:space="preserve">  IF( AP40 = 1, AP38, IF( Time!AP28 &lt; 1 + $F37, 0, OFFSET( AP39, 0, - 1 * ( $F37 ) ) ) )</f>
        <v>10000</v>
      </c>
      <c r="AQ41" s="3">
        <f ca="1" xml:space="preserve">  IF( AQ40 = 1, AQ38, IF( Time!AQ28 &lt; 1 + $F37, 0, OFFSET( AQ39, 0, - 1 * ( $F37 ) ) ) )</f>
        <v>15000</v>
      </c>
      <c r="AR41" s="3">
        <f ca="1" xml:space="preserve">  IF( AR40 = 1, AR38, IF( Time!AR28 &lt; 1 + $F37, 0, OFFSET( AR39, 0, - 1 * ( $F37 ) ) ) )</f>
        <v>15000</v>
      </c>
      <c r="AS41" s="3">
        <f ca="1" xml:space="preserve">  IF( AS40 = 1, AS38, IF( Time!AS28 &lt; 1 + $F37, 0, OFFSET( AS39, 0, - 1 * ( $F37 ) ) ) )</f>
        <v>20000</v>
      </c>
      <c r="AT41" s="3">
        <f ca="1" xml:space="preserve">  IF( AT40 = 1, AT38, IF( Time!AT28 &lt; 1 + $F37, 0, OFFSET( AT39, 0, - 1 * ( $F37 ) ) ) )</f>
        <v>15000</v>
      </c>
      <c r="AU41" s="3">
        <f ca="1" xml:space="preserve">  IF( AU40 = 1, AU38, IF( Time!AU28 &lt; 1 + $F37, 0, OFFSET( AU39, 0, - 1 * ( $F37 ) ) ) )</f>
        <v>20000</v>
      </c>
      <c r="AV41" s="3">
        <f ca="1" xml:space="preserve">  IF( AV40 = 1, AV38, IF( Time!AV28 &lt; 1 + $F37, 0, OFFSET( AV39, 0, - 1 * ( $F37 ) ) ) )</f>
        <v>25000</v>
      </c>
      <c r="AW41" s="3">
        <f ca="1" xml:space="preserve">  IF( AW40 = 1, AW38, IF( Time!AW28 &lt; 1 + $F37, 0, OFFSET( AW39, 0, - 1 * ( $F37 ) ) ) )</f>
        <v>20000</v>
      </c>
      <c r="AX41" s="3">
        <f ca="1" xml:space="preserve">  IF( AX40 = 1, AX38, IF( Time!AX28 &lt; 1 + $F37, 0, OFFSET( AX39, 0, - 1 * ( $F37 ) ) ) )</f>
        <v>25000</v>
      </c>
      <c r="AY41" s="3">
        <f ca="1" xml:space="preserve">  IF( AY40 = 1, AY38, IF( Time!AY28 &lt; 1 + $F37, 0, OFFSET( AY39, 0, - 1 * ( $F37 ) ) ) )</f>
        <v>25000</v>
      </c>
      <c r="AZ41" s="3">
        <f ca="1" xml:space="preserve">  IF( AZ40 = 1, AZ38, IF( Time!AZ28 &lt; 1 + $F37, 0, OFFSET( AZ39, 0, - 1 * ( $F37 ) ) ) )</f>
        <v>25000</v>
      </c>
      <c r="BA41" s="3">
        <f ca="1" xml:space="preserve">  IF( BA40 = 1, BA38, IF( Time!BA28 &lt; 1 + $F37, 0, OFFSET( BA39, 0, - 1 * ( $F37 ) ) ) )</f>
        <v>25000</v>
      </c>
      <c r="BB41" s="3">
        <f ca="1" xml:space="preserve">  IF( BB40 = 1, BB38, IF( Time!BB28 &lt; 1 + $F37, 0, OFFSET( BB39, 0, - 1 * ( $F37 ) ) ) )</f>
        <v>30000</v>
      </c>
      <c r="BC41" s="3">
        <f ca="1" xml:space="preserve">  IF( BC40 = 1, BC38, IF( Time!BC28 &lt; 1 + $F37, 0, OFFSET( BC39, 0, - 1 * ( $F37 ) ) ) )</f>
        <v>30000</v>
      </c>
      <c r="BD41" s="3">
        <f ca="1" xml:space="preserve">  IF( BD40 = 1, BD38, IF( Time!BD28 &lt; 1 + $F37, 0, OFFSET( BD39, 0, - 1 * ( $F37 ) ) ) )</f>
        <v>35000</v>
      </c>
      <c r="BE41" s="3">
        <f ca="1" xml:space="preserve">  IF( BE40 = 1, BE38, IF( Time!BE28 &lt; 1 + $F37, 0, OFFSET( BE39, 0, - 1 * ( $F37 ) ) ) )</f>
        <v>35000</v>
      </c>
      <c r="BF41" s="3">
        <f ca="1" xml:space="preserve">  IF( BF40 = 1, BF38, IF( Time!BF28 &lt; 1 + $F37, 0, OFFSET( BF39, 0, - 1 * ( $F37 ) ) ) )</f>
        <v>35000</v>
      </c>
      <c r="BG41" s="3">
        <f ca="1" xml:space="preserve">  IF( BG40 = 1, BG38, IF( Time!BG28 &lt; 1 + $F37, 0, OFFSET( BG39, 0, - 1 * ( $F37 ) ) ) )</f>
        <v>40000</v>
      </c>
      <c r="BH41" s="3">
        <f ca="1" xml:space="preserve">  IF( BH40 = 1, BH38, IF( Time!BH28 &lt; 1 + $F37, 0, OFFSET( BH39, 0, - 1 * ( $F37 ) ) ) )</f>
        <v>40000</v>
      </c>
      <c r="BI41" s="3">
        <f ca="1" xml:space="preserve">  IF( BI40 = 1, BI38, IF( Time!BI28 &lt; 1 + $F37, 0, OFFSET( BI39, 0, - 1 * ( $F37 ) ) ) )</f>
        <v>45000</v>
      </c>
      <c r="BJ41" s="3">
        <f ca="1" xml:space="preserve">  IF( BJ40 = 1, BJ38, IF( Time!BJ28 &lt; 1 + $F37, 0, OFFSET( BJ39, 0, - 1 * ( $F37 ) ) ) )</f>
        <v>45000</v>
      </c>
      <c r="BK41" s="3">
        <f ca="1" xml:space="preserve">  IF( BK40 = 1, BK38, IF( Time!BK28 &lt; 1 + $F37, 0, OFFSET( BK39, 0, - 1 * ( $F37 ) ) ) )</f>
        <v>50000</v>
      </c>
      <c r="BL41" s="3">
        <f ca="1" xml:space="preserve">  IF( BL40 = 1, BL38, IF( Time!BL28 &lt; 1 + $F37, 0, OFFSET( BL39, 0, - 1 * ( $F37 ) ) ) )</f>
        <v>50000</v>
      </c>
      <c r="BM41" s="3">
        <f ca="1" xml:space="preserve">  IF( BM40 = 1, BM38, IF( Time!BM28 &lt; 1 + $F37, 0, OFFSET( BM39, 0, - 1 * ( $F37 ) ) ) )</f>
        <v>55000</v>
      </c>
      <c r="BN41" s="3">
        <f ca="1" xml:space="preserve">  IF( BN40 = 1, BN38, IF( Time!BN28 &lt; 1 + $F37, 0, OFFSET( BN39, 0, - 1 * ( $F37 ) ) ) )</f>
        <v>60000</v>
      </c>
      <c r="BO41" s="3">
        <f ca="1" xml:space="preserve">  IF( BO40 = 1, BO38, IF( Time!BO28 &lt; 1 + $F37, 0, OFFSET( BO39, 0, - 1 * ( $F37 ) ) ) )</f>
        <v>60000</v>
      </c>
      <c r="BP41" s="3">
        <f ca="1" xml:space="preserve">  IF( BP40 = 1, BP38, IF( Time!BP28 &lt; 1 + $F37, 0, OFFSET( BP39, 0, - 1 * ( $F37 ) ) ) )</f>
        <v>65000</v>
      </c>
      <c r="BQ41" s="3">
        <f ca="1" xml:space="preserve">  IF( BQ40 = 1, BQ38, IF( Time!BQ28 &lt; 1 + $F37, 0, OFFSET( BQ39, 0, - 1 * ( $F37 ) ) ) )</f>
        <v>70000</v>
      </c>
    </row>
    <row r="44" spans="1:69">
      <c r="B44" s="25" t="s">
        <v>175</v>
      </c>
    </row>
    <row r="45" spans="1:69" s="80" customFormat="1">
      <c r="A45" s="60"/>
      <c r="B45" s="60"/>
      <c r="C45" s="82"/>
      <c r="D45" s="85"/>
      <c r="E45" s="40" t="str">
        <f xml:space="preserve">  InpC!E$41</f>
        <v>Opening Units on order</v>
      </c>
      <c r="F45" s="40">
        <f xml:space="preserve">  InpC!F$41</f>
        <v>0</v>
      </c>
      <c r="G45" s="40" t="str">
        <f xml:space="preserve">  InpC!G$41</f>
        <v>Units</v>
      </c>
      <c r="M45" s="87"/>
    </row>
    <row r="46" spans="1:69">
      <c r="A46" s="18"/>
      <c r="B46" s="18"/>
      <c r="C46" s="28"/>
      <c r="D46" s="27"/>
      <c r="E46" s="9" t="str">
        <f xml:space="preserve">  Time!E$28</f>
        <v>Period number</v>
      </c>
      <c r="F46" s="9">
        <f xml:space="preserve">  Time!F$28</f>
        <v>0</v>
      </c>
      <c r="G46" s="9" t="str">
        <f xml:space="preserve">  Time!G$28</f>
        <v>Counter</v>
      </c>
      <c r="H46" s="9">
        <f xml:space="preserve">  Time!H$28</f>
        <v>0</v>
      </c>
      <c r="I46" s="9">
        <f xml:space="preserve">  Time!I$28</f>
        <v>0</v>
      </c>
      <c r="J46" s="9">
        <f xml:space="preserve">  Time!J$28</f>
        <v>1</v>
      </c>
      <c r="K46" s="9">
        <f xml:space="preserve">  Time!K$28</f>
        <v>2</v>
      </c>
      <c r="L46" s="9">
        <f xml:space="preserve">  Time!L$28</f>
        <v>3</v>
      </c>
      <c r="M46" s="9">
        <f xml:space="preserve">  Time!M$28</f>
        <v>4</v>
      </c>
      <c r="N46" s="9">
        <f xml:space="preserve">  Time!N$28</f>
        <v>5</v>
      </c>
      <c r="O46" s="9">
        <f xml:space="preserve">  Time!O$28</f>
        <v>6</v>
      </c>
      <c r="P46" s="9">
        <f xml:space="preserve">  Time!P$28</f>
        <v>7</v>
      </c>
      <c r="Q46" s="9">
        <f xml:space="preserve">  Time!Q$28</f>
        <v>8</v>
      </c>
      <c r="R46" s="9">
        <f xml:space="preserve">  Time!R$28</f>
        <v>9</v>
      </c>
      <c r="S46" s="9">
        <f xml:space="preserve">  Time!S$28</f>
        <v>10</v>
      </c>
      <c r="T46" s="9">
        <f xml:space="preserve">  Time!T$28</f>
        <v>11</v>
      </c>
      <c r="U46" s="9">
        <f xml:space="preserve">  Time!U$28</f>
        <v>12</v>
      </c>
      <c r="V46" s="9">
        <f xml:space="preserve">  Time!V$28</f>
        <v>13</v>
      </c>
      <c r="W46" s="9">
        <f xml:space="preserve">  Time!W$28</f>
        <v>14</v>
      </c>
      <c r="X46" s="9">
        <f xml:space="preserve">  Time!X$28</f>
        <v>15</v>
      </c>
      <c r="Y46" s="9">
        <f xml:space="preserve">  Time!Y$28</f>
        <v>16</v>
      </c>
      <c r="Z46" s="9">
        <f xml:space="preserve">  Time!Z$28</f>
        <v>17</v>
      </c>
      <c r="AA46" s="9">
        <f xml:space="preserve">  Time!AA$28</f>
        <v>18</v>
      </c>
      <c r="AB46" s="9">
        <f xml:space="preserve">  Time!AB$28</f>
        <v>19</v>
      </c>
      <c r="AC46" s="9">
        <f xml:space="preserve">  Time!AC$28</f>
        <v>20</v>
      </c>
      <c r="AD46" s="9">
        <f xml:space="preserve">  Time!AD$28</f>
        <v>21</v>
      </c>
      <c r="AE46" s="9">
        <f xml:space="preserve">  Time!AE$28</f>
        <v>22</v>
      </c>
      <c r="AF46" s="9">
        <f xml:space="preserve">  Time!AF$28</f>
        <v>23</v>
      </c>
      <c r="AG46" s="9">
        <f xml:space="preserve">  Time!AG$28</f>
        <v>24</v>
      </c>
      <c r="AH46" s="9">
        <f xml:space="preserve">  Time!AH$28</f>
        <v>25</v>
      </c>
      <c r="AI46" s="9">
        <f xml:space="preserve">  Time!AI$28</f>
        <v>26</v>
      </c>
      <c r="AJ46" s="9">
        <f xml:space="preserve">  Time!AJ$28</f>
        <v>27</v>
      </c>
      <c r="AK46" s="9">
        <f xml:space="preserve">  Time!AK$28</f>
        <v>28</v>
      </c>
      <c r="AL46" s="9">
        <f xml:space="preserve">  Time!AL$28</f>
        <v>29</v>
      </c>
      <c r="AM46" s="9">
        <f xml:space="preserve">  Time!AM$28</f>
        <v>30</v>
      </c>
      <c r="AN46" s="9">
        <f xml:space="preserve">  Time!AN$28</f>
        <v>31</v>
      </c>
      <c r="AO46" s="9">
        <f xml:space="preserve">  Time!AO$28</f>
        <v>32</v>
      </c>
      <c r="AP46" s="9">
        <f xml:space="preserve">  Time!AP$28</f>
        <v>33</v>
      </c>
      <c r="AQ46" s="9">
        <f xml:space="preserve">  Time!AQ$28</f>
        <v>34</v>
      </c>
      <c r="AR46" s="9">
        <f xml:space="preserve">  Time!AR$28</f>
        <v>35</v>
      </c>
      <c r="AS46" s="9">
        <f xml:space="preserve">  Time!AS$28</f>
        <v>36</v>
      </c>
      <c r="AT46" s="9">
        <f xml:space="preserve">  Time!AT$28</f>
        <v>37</v>
      </c>
      <c r="AU46" s="9">
        <f xml:space="preserve">  Time!AU$28</f>
        <v>38</v>
      </c>
      <c r="AV46" s="9">
        <f xml:space="preserve">  Time!AV$28</f>
        <v>39</v>
      </c>
      <c r="AW46" s="9">
        <f xml:space="preserve">  Time!AW$28</f>
        <v>40</v>
      </c>
      <c r="AX46" s="9">
        <f xml:space="preserve">  Time!AX$28</f>
        <v>41</v>
      </c>
      <c r="AY46" s="9">
        <f xml:space="preserve">  Time!AY$28</f>
        <v>42</v>
      </c>
      <c r="AZ46" s="9">
        <f xml:space="preserve">  Time!AZ$28</f>
        <v>43</v>
      </c>
      <c r="BA46" s="9">
        <f xml:space="preserve">  Time!BA$28</f>
        <v>44</v>
      </c>
      <c r="BB46" s="9">
        <f xml:space="preserve">  Time!BB$28</f>
        <v>45</v>
      </c>
      <c r="BC46" s="9">
        <f xml:space="preserve">  Time!BC$28</f>
        <v>46</v>
      </c>
      <c r="BD46" s="9">
        <f xml:space="preserve">  Time!BD$28</f>
        <v>47</v>
      </c>
      <c r="BE46" s="9">
        <f xml:space="preserve">  Time!BE$28</f>
        <v>48</v>
      </c>
      <c r="BF46" s="9">
        <f xml:space="preserve">  Time!BF$28</f>
        <v>49</v>
      </c>
      <c r="BG46" s="9">
        <f xml:space="preserve">  Time!BG$28</f>
        <v>50</v>
      </c>
      <c r="BH46" s="9">
        <f xml:space="preserve">  Time!BH$28</f>
        <v>51</v>
      </c>
      <c r="BI46" s="9">
        <f xml:space="preserve">  Time!BI$28</f>
        <v>52</v>
      </c>
      <c r="BJ46" s="9">
        <f xml:space="preserve">  Time!BJ$28</f>
        <v>53</v>
      </c>
      <c r="BK46" s="9">
        <f xml:space="preserve">  Time!BK$28</f>
        <v>54</v>
      </c>
      <c r="BL46" s="9">
        <f xml:space="preserve">  Time!BL$28</f>
        <v>55</v>
      </c>
      <c r="BM46" s="9">
        <f xml:space="preserve">  Time!BM$28</f>
        <v>56</v>
      </c>
      <c r="BN46" s="9">
        <f xml:space="preserve">  Time!BN$28</f>
        <v>57</v>
      </c>
      <c r="BO46" s="9">
        <f xml:space="preserve">  Time!BO$28</f>
        <v>58</v>
      </c>
      <c r="BP46" s="9">
        <f xml:space="preserve">  Time!BP$28</f>
        <v>59</v>
      </c>
      <c r="BQ46" s="9">
        <f xml:space="preserve">  Time!BQ$28</f>
        <v>60</v>
      </c>
    </row>
    <row r="47" spans="1:69">
      <c r="E47" s="47" t="s">
        <v>228</v>
      </c>
      <c r="G47" s="47" t="s">
        <v>122</v>
      </c>
      <c r="J47" s="2">
        <f t="shared" ref="J47:BQ47" si="6" xml:space="preserve">  I50</f>
        <v>0</v>
      </c>
      <c r="K47" s="2">
        <f t="shared" ca="1" si="6"/>
        <v>0</v>
      </c>
      <c r="L47" s="2">
        <f t="shared" ca="1" si="6"/>
        <v>-5000</v>
      </c>
      <c r="M47" s="2">
        <f t="shared" ca="1" si="6"/>
        <v>5000</v>
      </c>
      <c r="N47" s="2">
        <f t="shared" ca="1" si="6"/>
        <v>15000</v>
      </c>
      <c r="O47" s="2">
        <f t="shared" ca="1" si="6"/>
        <v>25000</v>
      </c>
      <c r="P47" s="2">
        <f t="shared" ca="1" si="6"/>
        <v>15000</v>
      </c>
      <c r="Q47" s="2">
        <f t="shared" ca="1" si="6"/>
        <v>25000</v>
      </c>
      <c r="R47" s="2">
        <f t="shared" ca="1" si="6"/>
        <v>25000</v>
      </c>
      <c r="S47" s="2">
        <f t="shared" ca="1" si="6"/>
        <v>35000</v>
      </c>
      <c r="T47" s="2">
        <f t="shared" ca="1" si="6"/>
        <v>25000</v>
      </c>
      <c r="U47" s="2">
        <f t="shared" ca="1" si="6"/>
        <v>25000</v>
      </c>
      <c r="V47" s="2">
        <f t="shared" ca="1" si="6"/>
        <v>15000</v>
      </c>
      <c r="W47" s="2">
        <f t="shared" ca="1" si="6"/>
        <v>5000</v>
      </c>
      <c r="X47" s="2">
        <f t="shared" ca="1" si="6"/>
        <v>5000</v>
      </c>
      <c r="Y47" s="2">
        <f t="shared" ca="1" si="6"/>
        <v>0</v>
      </c>
      <c r="Z47" s="2">
        <f t="shared" ca="1" si="6"/>
        <v>5000</v>
      </c>
      <c r="AA47" s="2">
        <f t="shared" ca="1" si="6"/>
        <v>10000</v>
      </c>
      <c r="AB47" s="2">
        <f t="shared" ca="1" si="6"/>
        <v>20000</v>
      </c>
      <c r="AC47" s="2">
        <f t="shared" ca="1" si="6"/>
        <v>25000</v>
      </c>
      <c r="AD47" s="2">
        <f t="shared" ca="1" si="6"/>
        <v>35000</v>
      </c>
      <c r="AE47" s="2">
        <f t="shared" ca="1" si="6"/>
        <v>35000</v>
      </c>
      <c r="AF47" s="2">
        <f t="shared" ca="1" si="6"/>
        <v>40000</v>
      </c>
      <c r="AG47" s="2">
        <f t="shared" ca="1" si="6"/>
        <v>45000</v>
      </c>
      <c r="AH47" s="2">
        <f t="shared" ca="1" si="6"/>
        <v>45000</v>
      </c>
      <c r="AI47" s="2">
        <f t="shared" ca="1" si="6"/>
        <v>50000</v>
      </c>
      <c r="AJ47" s="2">
        <f t="shared" ca="1" si="6"/>
        <v>55000</v>
      </c>
      <c r="AK47" s="2">
        <f t="shared" ca="1" si="6"/>
        <v>60000</v>
      </c>
      <c r="AL47" s="2">
        <f t="shared" ca="1" si="6"/>
        <v>65000</v>
      </c>
      <c r="AM47" s="2">
        <f t="shared" ca="1" si="6"/>
        <v>70000</v>
      </c>
      <c r="AN47" s="2">
        <f t="shared" ca="1" si="6"/>
        <v>80000</v>
      </c>
      <c r="AO47" s="2">
        <f t="shared" ca="1" si="6"/>
        <v>85000</v>
      </c>
      <c r="AP47" s="2">
        <f t="shared" ca="1" si="6"/>
        <v>90000</v>
      </c>
      <c r="AQ47" s="2">
        <f t="shared" ca="1" si="6"/>
        <v>105000</v>
      </c>
      <c r="AR47" s="2">
        <f t="shared" ca="1" si="6"/>
        <v>110000</v>
      </c>
      <c r="AS47" s="2">
        <f t="shared" ca="1" si="6"/>
        <v>120000</v>
      </c>
      <c r="AT47" s="2">
        <f t="shared" ca="1" si="6"/>
        <v>125000</v>
      </c>
      <c r="AU47" s="2">
        <f t="shared" ca="1" si="6"/>
        <v>135000</v>
      </c>
      <c r="AV47" s="2">
        <f t="shared" ca="1" si="6"/>
        <v>140000</v>
      </c>
      <c r="AW47" s="2">
        <f t="shared" ca="1" si="6"/>
        <v>145000</v>
      </c>
      <c r="AX47" s="2">
        <f t="shared" ca="1" si="6"/>
        <v>155000</v>
      </c>
      <c r="AY47" s="2">
        <f t="shared" ca="1" si="6"/>
        <v>165000</v>
      </c>
      <c r="AZ47" s="2">
        <f t="shared" ca="1" si="6"/>
        <v>175000</v>
      </c>
      <c r="BA47" s="2">
        <f t="shared" ca="1" si="6"/>
        <v>185000</v>
      </c>
      <c r="BB47" s="2">
        <f t="shared" ca="1" si="6"/>
        <v>200000</v>
      </c>
      <c r="BC47" s="2">
        <f t="shared" ca="1" si="6"/>
        <v>210000</v>
      </c>
      <c r="BD47" s="2">
        <f t="shared" ca="1" si="6"/>
        <v>225000</v>
      </c>
      <c r="BE47" s="2">
        <f t="shared" ca="1" si="6"/>
        <v>235000</v>
      </c>
      <c r="BF47" s="2">
        <f t="shared" ca="1" si="6"/>
        <v>250000</v>
      </c>
      <c r="BG47" s="2">
        <f t="shared" ca="1" si="6"/>
        <v>265000</v>
      </c>
      <c r="BH47" s="2">
        <f t="shared" ca="1" si="6"/>
        <v>280000</v>
      </c>
      <c r="BI47" s="2">
        <f t="shared" ca="1" si="6"/>
        <v>300000</v>
      </c>
      <c r="BJ47" s="2">
        <f t="shared" ca="1" si="6"/>
        <v>315000</v>
      </c>
      <c r="BK47" s="2">
        <f t="shared" ca="1" si="6"/>
        <v>335000</v>
      </c>
      <c r="BL47" s="2">
        <f t="shared" ca="1" si="6"/>
        <v>355000</v>
      </c>
      <c r="BM47" s="2">
        <f t="shared" ca="1" si="6"/>
        <v>380000</v>
      </c>
      <c r="BN47" s="2">
        <f t="shared" ca="1" si="6"/>
        <v>400000</v>
      </c>
      <c r="BO47" s="2">
        <f t="shared" ca="1" si="6"/>
        <v>425000</v>
      </c>
      <c r="BP47" s="2">
        <f t="shared" ca="1" si="6"/>
        <v>450000</v>
      </c>
      <c r="BQ47" s="2">
        <f t="shared" ca="1" si="6"/>
        <v>480000</v>
      </c>
    </row>
    <row r="48" spans="1:69">
      <c r="D48" s="94" t="s">
        <v>220</v>
      </c>
      <c r="E48" s="2" t="str">
        <f t="shared" ref="E48:BQ48" si="7" xml:space="preserve">  E$33</f>
        <v>Units ordered</v>
      </c>
      <c r="F48" s="2">
        <f t="shared" si="7"/>
        <v>0</v>
      </c>
      <c r="G48" s="2" t="str">
        <f t="shared" si="7"/>
        <v>Units</v>
      </c>
      <c r="H48" s="2">
        <f t="shared" ca="1" si="7"/>
        <v>1650000</v>
      </c>
      <c r="I48" s="2">
        <f t="shared" si="7"/>
        <v>0</v>
      </c>
      <c r="J48" s="2">
        <f t="shared" si="7"/>
        <v>0</v>
      </c>
      <c r="K48" s="2">
        <f t="shared" si="7"/>
        <v>0</v>
      </c>
      <c r="L48" s="2">
        <f t="shared" si="7"/>
        <v>10000</v>
      </c>
      <c r="M48" s="2">
        <f t="shared" si="7"/>
        <v>10000</v>
      </c>
      <c r="N48" s="2">
        <f t="shared" si="7"/>
        <v>10000</v>
      </c>
      <c r="O48" s="2">
        <f t="shared" si="7"/>
        <v>0</v>
      </c>
      <c r="P48" s="2">
        <f t="shared" si="7"/>
        <v>10000</v>
      </c>
      <c r="Q48" s="2">
        <f t="shared" si="7"/>
        <v>0</v>
      </c>
      <c r="R48" s="2">
        <f t="shared" si="7"/>
        <v>10000</v>
      </c>
      <c r="S48" s="2">
        <f t="shared" si="7"/>
        <v>0</v>
      </c>
      <c r="T48" s="2">
        <f t="shared" si="7"/>
        <v>0</v>
      </c>
      <c r="U48" s="2">
        <f t="shared" si="7"/>
        <v>0</v>
      </c>
      <c r="V48" s="2">
        <f t="shared" ca="1" si="7"/>
        <v>0</v>
      </c>
      <c r="W48" s="2">
        <f t="shared" ca="1" si="7"/>
        <v>0</v>
      </c>
      <c r="X48" s="2">
        <f t="shared" ca="1" si="7"/>
        <v>5000</v>
      </c>
      <c r="Y48" s="2">
        <f t="shared" ca="1" si="7"/>
        <v>5000</v>
      </c>
      <c r="Z48" s="2">
        <f t="shared" ca="1" si="7"/>
        <v>5000</v>
      </c>
      <c r="AA48" s="2">
        <f t="shared" ca="1" si="7"/>
        <v>10000</v>
      </c>
      <c r="AB48" s="2">
        <f t="shared" ca="1" si="7"/>
        <v>5000</v>
      </c>
      <c r="AC48" s="2">
        <f t="shared" ca="1" si="7"/>
        <v>10000</v>
      </c>
      <c r="AD48" s="2">
        <f t="shared" ca="1" si="7"/>
        <v>5000</v>
      </c>
      <c r="AE48" s="2">
        <f t="shared" ca="1" si="7"/>
        <v>10000</v>
      </c>
      <c r="AF48" s="2">
        <f t="shared" ca="1" si="7"/>
        <v>10000</v>
      </c>
      <c r="AG48" s="2">
        <f t="shared" ca="1" si="7"/>
        <v>10000</v>
      </c>
      <c r="AH48" s="2">
        <f t="shared" ca="1" si="7"/>
        <v>10000</v>
      </c>
      <c r="AI48" s="2">
        <f t="shared" ca="1" si="7"/>
        <v>15000</v>
      </c>
      <c r="AJ48" s="2">
        <f t="shared" ca="1" si="7"/>
        <v>10000</v>
      </c>
      <c r="AK48" s="2">
        <f t="shared" ca="1" si="7"/>
        <v>15000</v>
      </c>
      <c r="AL48" s="2">
        <f t="shared" ca="1" si="7"/>
        <v>15000</v>
      </c>
      <c r="AM48" s="2">
        <f t="shared" ca="1" si="7"/>
        <v>20000</v>
      </c>
      <c r="AN48" s="2">
        <f t="shared" ca="1" si="7"/>
        <v>15000</v>
      </c>
      <c r="AO48" s="2">
        <f t="shared" ca="1" si="7"/>
        <v>20000</v>
      </c>
      <c r="AP48" s="2">
        <f t="shared" ca="1" si="7"/>
        <v>25000</v>
      </c>
      <c r="AQ48" s="2">
        <f t="shared" ca="1" si="7"/>
        <v>20000</v>
      </c>
      <c r="AR48" s="2">
        <f t="shared" ca="1" si="7"/>
        <v>25000</v>
      </c>
      <c r="AS48" s="2">
        <f t="shared" ca="1" si="7"/>
        <v>25000</v>
      </c>
      <c r="AT48" s="2">
        <f t="shared" ca="1" si="7"/>
        <v>25000</v>
      </c>
      <c r="AU48" s="2">
        <f t="shared" ca="1" si="7"/>
        <v>25000</v>
      </c>
      <c r="AV48" s="2">
        <f t="shared" ca="1" si="7"/>
        <v>30000</v>
      </c>
      <c r="AW48" s="2">
        <f t="shared" ca="1" si="7"/>
        <v>30000</v>
      </c>
      <c r="AX48" s="2">
        <f t="shared" ca="1" si="7"/>
        <v>35000</v>
      </c>
      <c r="AY48" s="2">
        <f t="shared" ca="1" si="7"/>
        <v>35000</v>
      </c>
      <c r="AZ48" s="2">
        <f t="shared" ca="1" si="7"/>
        <v>35000</v>
      </c>
      <c r="BA48" s="2">
        <f t="shared" ca="1" si="7"/>
        <v>40000</v>
      </c>
      <c r="BB48" s="2">
        <f t="shared" ca="1" si="7"/>
        <v>40000</v>
      </c>
      <c r="BC48" s="2">
        <f t="shared" ca="1" si="7"/>
        <v>45000</v>
      </c>
      <c r="BD48" s="2">
        <f t="shared" ca="1" si="7"/>
        <v>45000</v>
      </c>
      <c r="BE48" s="2">
        <f t="shared" ca="1" si="7"/>
        <v>50000</v>
      </c>
      <c r="BF48" s="2">
        <f t="shared" ca="1" si="7"/>
        <v>50000</v>
      </c>
      <c r="BG48" s="2">
        <f t="shared" ca="1" si="7"/>
        <v>55000</v>
      </c>
      <c r="BH48" s="2">
        <f t="shared" ca="1" si="7"/>
        <v>60000</v>
      </c>
      <c r="BI48" s="2">
        <f t="shared" ca="1" si="7"/>
        <v>60000</v>
      </c>
      <c r="BJ48" s="2">
        <f t="shared" ca="1" si="7"/>
        <v>65000</v>
      </c>
      <c r="BK48" s="2">
        <f t="shared" ca="1" si="7"/>
        <v>70000</v>
      </c>
      <c r="BL48" s="2">
        <f t="shared" ca="1" si="7"/>
        <v>75000</v>
      </c>
      <c r="BM48" s="2">
        <f t="shared" ca="1" si="7"/>
        <v>75000</v>
      </c>
      <c r="BN48" s="2">
        <f t="shared" ca="1" si="7"/>
        <v>85000</v>
      </c>
      <c r="BO48" s="2">
        <f t="shared" ca="1" si="7"/>
        <v>85000</v>
      </c>
      <c r="BP48" s="2">
        <f t="shared" ca="1" si="7"/>
        <v>95000</v>
      </c>
      <c r="BQ48" s="2">
        <f t="shared" ca="1" si="7"/>
        <v>100000</v>
      </c>
    </row>
    <row r="49" spans="1:69">
      <c r="D49" s="94" t="s">
        <v>299</v>
      </c>
      <c r="E49" s="2" t="str">
        <f t="shared" ref="E49:BQ49" si="8" xml:space="preserve">  E$41</f>
        <v>Units delivered</v>
      </c>
      <c r="F49" s="2">
        <f t="shared" si="8"/>
        <v>0</v>
      </c>
      <c r="G49" s="2" t="str">
        <f t="shared" si="8"/>
        <v>Units</v>
      </c>
      <c r="H49" s="2">
        <f t="shared" ca="1" si="8"/>
        <v>1140000</v>
      </c>
      <c r="I49" s="2">
        <f t="shared" si="8"/>
        <v>0</v>
      </c>
      <c r="J49" s="2">
        <f t="shared" ca="1" si="8"/>
        <v>0</v>
      </c>
      <c r="K49" s="2">
        <f t="shared" ca="1" si="8"/>
        <v>5000</v>
      </c>
      <c r="L49" s="2">
        <f t="shared" ca="1" si="8"/>
        <v>0</v>
      </c>
      <c r="M49" s="2">
        <f t="shared" ca="1" si="8"/>
        <v>0</v>
      </c>
      <c r="N49" s="2">
        <f t="shared" ca="1" si="8"/>
        <v>0</v>
      </c>
      <c r="O49" s="2">
        <f t="shared" ca="1" si="8"/>
        <v>10000</v>
      </c>
      <c r="P49" s="2">
        <f t="shared" ca="1" si="8"/>
        <v>0</v>
      </c>
      <c r="Q49" s="2">
        <f t="shared" ca="1" si="8"/>
        <v>0</v>
      </c>
      <c r="R49" s="2">
        <f t="shared" ca="1" si="8"/>
        <v>0</v>
      </c>
      <c r="S49" s="2">
        <f t="shared" ca="1" si="8"/>
        <v>10000</v>
      </c>
      <c r="T49" s="2">
        <f t="shared" ca="1" si="8"/>
        <v>0</v>
      </c>
      <c r="U49" s="2">
        <f t="shared" ca="1" si="8"/>
        <v>10000</v>
      </c>
      <c r="V49" s="2">
        <f t="shared" ca="1" si="8"/>
        <v>10000</v>
      </c>
      <c r="W49" s="2">
        <f t="shared" ca="1" si="8"/>
        <v>0</v>
      </c>
      <c r="X49" s="2">
        <f t="shared" ca="1" si="8"/>
        <v>10000</v>
      </c>
      <c r="Y49" s="2">
        <f t="shared" ca="1" si="8"/>
        <v>0</v>
      </c>
      <c r="Z49" s="2">
        <f t="shared" ca="1" si="8"/>
        <v>0</v>
      </c>
      <c r="AA49" s="2">
        <f t="shared" ca="1" si="8"/>
        <v>0</v>
      </c>
      <c r="AB49" s="2">
        <f t="shared" ca="1" si="8"/>
        <v>0</v>
      </c>
      <c r="AC49" s="2">
        <f t="shared" ca="1" si="8"/>
        <v>0</v>
      </c>
      <c r="AD49" s="2">
        <f t="shared" ca="1" si="8"/>
        <v>5000</v>
      </c>
      <c r="AE49" s="2">
        <f t="shared" ca="1" si="8"/>
        <v>5000</v>
      </c>
      <c r="AF49" s="2">
        <f t="shared" ca="1" si="8"/>
        <v>5000</v>
      </c>
      <c r="AG49" s="2">
        <f t="shared" ca="1" si="8"/>
        <v>10000</v>
      </c>
      <c r="AH49" s="2">
        <f t="shared" ca="1" si="8"/>
        <v>5000</v>
      </c>
      <c r="AI49" s="2">
        <f t="shared" ca="1" si="8"/>
        <v>10000</v>
      </c>
      <c r="AJ49" s="2">
        <f t="shared" ca="1" si="8"/>
        <v>5000</v>
      </c>
      <c r="AK49" s="2">
        <f t="shared" ca="1" si="8"/>
        <v>10000</v>
      </c>
      <c r="AL49" s="2">
        <f t="shared" ca="1" si="8"/>
        <v>10000</v>
      </c>
      <c r="AM49" s="2">
        <f t="shared" ca="1" si="8"/>
        <v>10000</v>
      </c>
      <c r="AN49" s="2">
        <f t="shared" ca="1" si="8"/>
        <v>10000</v>
      </c>
      <c r="AO49" s="2">
        <f t="shared" ca="1" si="8"/>
        <v>15000</v>
      </c>
      <c r="AP49" s="2">
        <f t="shared" ca="1" si="8"/>
        <v>10000</v>
      </c>
      <c r="AQ49" s="2">
        <f t="shared" ca="1" si="8"/>
        <v>15000</v>
      </c>
      <c r="AR49" s="2">
        <f t="shared" ca="1" si="8"/>
        <v>15000</v>
      </c>
      <c r="AS49" s="2">
        <f t="shared" ca="1" si="8"/>
        <v>20000</v>
      </c>
      <c r="AT49" s="2">
        <f t="shared" ca="1" si="8"/>
        <v>15000</v>
      </c>
      <c r="AU49" s="2">
        <f t="shared" ca="1" si="8"/>
        <v>20000</v>
      </c>
      <c r="AV49" s="2">
        <f t="shared" ca="1" si="8"/>
        <v>25000</v>
      </c>
      <c r="AW49" s="2">
        <f t="shared" ca="1" si="8"/>
        <v>20000</v>
      </c>
      <c r="AX49" s="2">
        <f t="shared" ca="1" si="8"/>
        <v>25000</v>
      </c>
      <c r="AY49" s="2">
        <f t="shared" ca="1" si="8"/>
        <v>25000</v>
      </c>
      <c r="AZ49" s="2">
        <f t="shared" ca="1" si="8"/>
        <v>25000</v>
      </c>
      <c r="BA49" s="2">
        <f t="shared" ca="1" si="8"/>
        <v>25000</v>
      </c>
      <c r="BB49" s="2">
        <f t="shared" ca="1" si="8"/>
        <v>30000</v>
      </c>
      <c r="BC49" s="2">
        <f t="shared" ca="1" si="8"/>
        <v>30000</v>
      </c>
      <c r="BD49" s="2">
        <f t="shared" ca="1" si="8"/>
        <v>35000</v>
      </c>
      <c r="BE49" s="2">
        <f t="shared" ca="1" si="8"/>
        <v>35000</v>
      </c>
      <c r="BF49" s="2">
        <f t="shared" ca="1" si="8"/>
        <v>35000</v>
      </c>
      <c r="BG49" s="2">
        <f t="shared" ca="1" si="8"/>
        <v>40000</v>
      </c>
      <c r="BH49" s="2">
        <f t="shared" ca="1" si="8"/>
        <v>40000</v>
      </c>
      <c r="BI49" s="2">
        <f t="shared" ca="1" si="8"/>
        <v>45000</v>
      </c>
      <c r="BJ49" s="2">
        <f t="shared" ca="1" si="8"/>
        <v>45000</v>
      </c>
      <c r="BK49" s="2">
        <f t="shared" ca="1" si="8"/>
        <v>50000</v>
      </c>
      <c r="BL49" s="2">
        <f t="shared" ca="1" si="8"/>
        <v>50000</v>
      </c>
      <c r="BM49" s="2">
        <f t="shared" ca="1" si="8"/>
        <v>55000</v>
      </c>
      <c r="BN49" s="2">
        <f t="shared" ca="1" si="8"/>
        <v>60000</v>
      </c>
      <c r="BO49" s="2">
        <f t="shared" ca="1" si="8"/>
        <v>60000</v>
      </c>
      <c r="BP49" s="2">
        <f t="shared" ca="1" si="8"/>
        <v>65000</v>
      </c>
      <c r="BQ49" s="2">
        <f t="shared" ca="1" si="8"/>
        <v>70000</v>
      </c>
    </row>
    <row r="50" spans="1:69" s="86" customFormat="1">
      <c r="A50" s="63"/>
      <c r="B50" s="63"/>
      <c r="C50" s="89"/>
      <c r="D50" s="91"/>
      <c r="E50" s="33" t="s">
        <v>175</v>
      </c>
      <c r="F50" s="33"/>
      <c r="G50" s="33" t="s">
        <v>122</v>
      </c>
      <c r="H50" s="33"/>
      <c r="I50" s="11">
        <f t="shared" ref="I50:BQ50" si="9" xml:space="preserve">  IF( I46 = 0, $F45, I47 + I48 - I49 )</f>
        <v>0</v>
      </c>
      <c r="J50" s="11">
        <f t="shared" ca="1" si="9"/>
        <v>0</v>
      </c>
      <c r="K50" s="11">
        <f t="shared" ca="1" si="9"/>
        <v>-5000</v>
      </c>
      <c r="L50" s="11">
        <f t="shared" ca="1" si="9"/>
        <v>5000</v>
      </c>
      <c r="M50" s="11">
        <f t="shared" ca="1" si="9"/>
        <v>15000</v>
      </c>
      <c r="N50" s="11">
        <f t="shared" ca="1" si="9"/>
        <v>25000</v>
      </c>
      <c r="O50" s="11">
        <f t="shared" ca="1" si="9"/>
        <v>15000</v>
      </c>
      <c r="P50" s="11">
        <f t="shared" ca="1" si="9"/>
        <v>25000</v>
      </c>
      <c r="Q50" s="11">
        <f t="shared" ca="1" si="9"/>
        <v>25000</v>
      </c>
      <c r="R50" s="11">
        <f t="shared" ca="1" si="9"/>
        <v>35000</v>
      </c>
      <c r="S50" s="11">
        <f t="shared" ca="1" si="9"/>
        <v>25000</v>
      </c>
      <c r="T50" s="11">
        <f t="shared" ca="1" si="9"/>
        <v>25000</v>
      </c>
      <c r="U50" s="11">
        <f t="shared" ca="1" si="9"/>
        <v>15000</v>
      </c>
      <c r="V50" s="11">
        <f t="shared" ca="1" si="9"/>
        <v>5000</v>
      </c>
      <c r="W50" s="11">
        <f t="shared" ca="1" si="9"/>
        <v>5000</v>
      </c>
      <c r="X50" s="11">
        <f t="shared" ca="1" si="9"/>
        <v>0</v>
      </c>
      <c r="Y50" s="11">
        <f t="shared" ca="1" si="9"/>
        <v>5000</v>
      </c>
      <c r="Z50" s="11">
        <f t="shared" ca="1" si="9"/>
        <v>10000</v>
      </c>
      <c r="AA50" s="11">
        <f t="shared" ca="1" si="9"/>
        <v>20000</v>
      </c>
      <c r="AB50" s="11">
        <f t="shared" ca="1" si="9"/>
        <v>25000</v>
      </c>
      <c r="AC50" s="11">
        <f t="shared" ca="1" si="9"/>
        <v>35000</v>
      </c>
      <c r="AD50" s="11">
        <f t="shared" ca="1" si="9"/>
        <v>35000</v>
      </c>
      <c r="AE50" s="11">
        <f t="shared" ca="1" si="9"/>
        <v>40000</v>
      </c>
      <c r="AF50" s="11">
        <f t="shared" ca="1" si="9"/>
        <v>45000</v>
      </c>
      <c r="AG50" s="11">
        <f t="shared" ca="1" si="9"/>
        <v>45000</v>
      </c>
      <c r="AH50" s="11">
        <f t="shared" ca="1" si="9"/>
        <v>50000</v>
      </c>
      <c r="AI50" s="11">
        <f t="shared" ca="1" si="9"/>
        <v>55000</v>
      </c>
      <c r="AJ50" s="11">
        <f t="shared" ca="1" si="9"/>
        <v>60000</v>
      </c>
      <c r="AK50" s="11">
        <f t="shared" ca="1" si="9"/>
        <v>65000</v>
      </c>
      <c r="AL50" s="11">
        <f t="shared" ca="1" si="9"/>
        <v>70000</v>
      </c>
      <c r="AM50" s="11">
        <f t="shared" ca="1" si="9"/>
        <v>80000</v>
      </c>
      <c r="AN50" s="11">
        <f t="shared" ca="1" si="9"/>
        <v>85000</v>
      </c>
      <c r="AO50" s="11">
        <f t="shared" ca="1" si="9"/>
        <v>90000</v>
      </c>
      <c r="AP50" s="11">
        <f t="shared" ca="1" si="9"/>
        <v>105000</v>
      </c>
      <c r="AQ50" s="11">
        <f t="shared" ca="1" si="9"/>
        <v>110000</v>
      </c>
      <c r="AR50" s="11">
        <f t="shared" ca="1" si="9"/>
        <v>120000</v>
      </c>
      <c r="AS50" s="11">
        <f t="shared" ca="1" si="9"/>
        <v>125000</v>
      </c>
      <c r="AT50" s="11">
        <f t="shared" ca="1" si="9"/>
        <v>135000</v>
      </c>
      <c r="AU50" s="11">
        <f t="shared" ca="1" si="9"/>
        <v>140000</v>
      </c>
      <c r="AV50" s="11">
        <f t="shared" ca="1" si="9"/>
        <v>145000</v>
      </c>
      <c r="AW50" s="11">
        <f t="shared" ca="1" si="9"/>
        <v>155000</v>
      </c>
      <c r="AX50" s="11">
        <f t="shared" ca="1" si="9"/>
        <v>165000</v>
      </c>
      <c r="AY50" s="11">
        <f t="shared" ca="1" si="9"/>
        <v>175000</v>
      </c>
      <c r="AZ50" s="11">
        <f t="shared" ca="1" si="9"/>
        <v>185000</v>
      </c>
      <c r="BA50" s="11">
        <f t="shared" ca="1" si="9"/>
        <v>200000</v>
      </c>
      <c r="BB50" s="11">
        <f t="shared" ca="1" si="9"/>
        <v>210000</v>
      </c>
      <c r="BC50" s="11">
        <f t="shared" ca="1" si="9"/>
        <v>225000</v>
      </c>
      <c r="BD50" s="11">
        <f t="shared" ca="1" si="9"/>
        <v>235000</v>
      </c>
      <c r="BE50" s="11">
        <f t="shared" ca="1" si="9"/>
        <v>250000</v>
      </c>
      <c r="BF50" s="11">
        <f t="shared" ca="1" si="9"/>
        <v>265000</v>
      </c>
      <c r="BG50" s="11">
        <f t="shared" ca="1" si="9"/>
        <v>280000</v>
      </c>
      <c r="BH50" s="11">
        <f t="shared" ca="1" si="9"/>
        <v>300000</v>
      </c>
      <c r="BI50" s="11">
        <f t="shared" ca="1" si="9"/>
        <v>315000</v>
      </c>
      <c r="BJ50" s="11">
        <f t="shared" ca="1" si="9"/>
        <v>335000</v>
      </c>
      <c r="BK50" s="11">
        <f t="shared" ca="1" si="9"/>
        <v>355000</v>
      </c>
      <c r="BL50" s="11">
        <f t="shared" ca="1" si="9"/>
        <v>380000</v>
      </c>
      <c r="BM50" s="11">
        <f t="shared" ca="1" si="9"/>
        <v>400000</v>
      </c>
      <c r="BN50" s="11">
        <f t="shared" ca="1" si="9"/>
        <v>425000</v>
      </c>
      <c r="BO50" s="11">
        <f t="shared" ca="1" si="9"/>
        <v>450000</v>
      </c>
      <c r="BP50" s="11">
        <f t="shared" ca="1" si="9"/>
        <v>480000</v>
      </c>
      <c r="BQ50" s="11">
        <f t="shared" ca="1" si="9"/>
        <v>510000</v>
      </c>
    </row>
    <row r="52" spans="1:69">
      <c r="B52" s="25" t="s">
        <v>246</v>
      </c>
    </row>
    <row r="53" spans="1:69" outlineLevel="1">
      <c r="A53" s="18"/>
      <c r="B53" s="18"/>
      <c r="C53" s="28"/>
      <c r="D53" s="27"/>
      <c r="E53" s="4" t="str">
        <f xml:space="preserve">  Customers!E$29</f>
        <v>Customer orders fullfilled</v>
      </c>
      <c r="F53" s="4">
        <f xml:space="preserve">  Customers!F$29</f>
        <v>0</v>
      </c>
      <c r="G53" s="4" t="str">
        <f xml:space="preserve">  Customers!G$29</f>
        <v>Units</v>
      </c>
      <c r="H53" s="4">
        <f ca="1" xml:space="preserve">  Customers!H$29</f>
        <v>1070000</v>
      </c>
      <c r="I53" s="4">
        <f xml:space="preserve">  Customers!I$29</f>
        <v>0</v>
      </c>
      <c r="J53" s="4">
        <f xml:space="preserve">  Customers!J$29</f>
        <v>0</v>
      </c>
      <c r="K53" s="4">
        <f ca="1" xml:space="preserve">  Customers!K$29</f>
        <v>0</v>
      </c>
      <c r="L53" s="4">
        <f ca="1" xml:space="preserve">  Customers!L$29</f>
        <v>2000</v>
      </c>
      <c r="M53" s="4">
        <f ca="1" xml:space="preserve">  Customers!M$29</f>
        <v>1000</v>
      </c>
      <c r="N53" s="4">
        <f ca="1" xml:space="preserve">  Customers!N$29</f>
        <v>1000</v>
      </c>
      <c r="O53" s="4">
        <f ca="1" xml:space="preserve">  Customers!O$29</f>
        <v>1000</v>
      </c>
      <c r="P53" s="4">
        <f ca="1" xml:space="preserve">  Customers!P$29</f>
        <v>5000</v>
      </c>
      <c r="Q53" s="4">
        <f ca="1" xml:space="preserve">  Customers!Q$29</f>
        <v>3000</v>
      </c>
      <c r="R53" s="4">
        <f ca="1" xml:space="preserve">  Customers!R$29</f>
        <v>2000</v>
      </c>
      <c r="S53" s="4">
        <f ca="1" xml:space="preserve">  Customers!S$29</f>
        <v>0</v>
      </c>
      <c r="T53" s="4">
        <f ca="1" xml:space="preserve">  Customers!T$29</f>
        <v>10000</v>
      </c>
      <c r="U53" s="4">
        <f ca="1" xml:space="preserve">  Customers!U$29</f>
        <v>0</v>
      </c>
      <c r="V53" s="4">
        <f ca="1" xml:space="preserve">  Customers!V$29</f>
        <v>10000</v>
      </c>
      <c r="W53" s="4">
        <f ca="1" xml:space="preserve">  Customers!W$29</f>
        <v>8297.3154717964753</v>
      </c>
      <c r="X53" s="4">
        <f ca="1" xml:space="preserve">  Customers!X$29</f>
        <v>1702.6845282035247</v>
      </c>
      <c r="Y53" s="4">
        <f ca="1" xml:space="preserve">  Customers!Y$29</f>
        <v>9855.6612883569433</v>
      </c>
      <c r="Z53" s="4">
        <f ca="1" xml:space="preserve">  Customers!Z$29</f>
        <v>144.33871164305674</v>
      </c>
      <c r="AA53" s="4">
        <f ca="1" xml:space="preserve">  Customers!AA$29</f>
        <v>0</v>
      </c>
      <c r="AB53" s="4">
        <f ca="1" xml:space="preserve">  Customers!AB$29</f>
        <v>0</v>
      </c>
      <c r="AC53" s="4">
        <f ca="1" xml:space="preserve">  Customers!AC$29</f>
        <v>0</v>
      </c>
      <c r="AD53" s="4">
        <f ca="1" xml:space="preserve">  Customers!AD$29</f>
        <v>0</v>
      </c>
      <c r="AE53" s="4">
        <f ca="1" xml:space="preserve">  Customers!AE$29</f>
        <v>5000</v>
      </c>
      <c r="AF53" s="4">
        <f ca="1" xml:space="preserve">  Customers!AF$29</f>
        <v>5000</v>
      </c>
      <c r="AG53" s="4">
        <f ca="1" xml:space="preserve">  Customers!AG$29</f>
        <v>5000</v>
      </c>
      <c r="AH53" s="4">
        <f ca="1" xml:space="preserve">  Customers!AH$29</f>
        <v>10000</v>
      </c>
      <c r="AI53" s="4">
        <f ca="1" xml:space="preserve">  Customers!AI$29</f>
        <v>5000</v>
      </c>
      <c r="AJ53" s="4">
        <f ca="1" xml:space="preserve">  Customers!AJ$29</f>
        <v>10000</v>
      </c>
      <c r="AK53" s="4">
        <f ca="1" xml:space="preserve">  Customers!AK$29</f>
        <v>5000</v>
      </c>
      <c r="AL53" s="4">
        <f ca="1" xml:space="preserve">  Customers!AL$29</f>
        <v>10000</v>
      </c>
      <c r="AM53" s="4">
        <f ca="1" xml:space="preserve">  Customers!AM$29</f>
        <v>10000</v>
      </c>
      <c r="AN53" s="4">
        <f ca="1" xml:space="preserve">  Customers!AN$29</f>
        <v>10000</v>
      </c>
      <c r="AO53" s="4">
        <f ca="1" xml:space="preserve">  Customers!AO$29</f>
        <v>10000</v>
      </c>
      <c r="AP53" s="4">
        <f ca="1" xml:space="preserve">  Customers!AP$29</f>
        <v>15000</v>
      </c>
      <c r="AQ53" s="4">
        <f ca="1" xml:space="preserve">  Customers!AQ$29</f>
        <v>10000</v>
      </c>
      <c r="AR53" s="4">
        <f ca="1" xml:space="preserve">  Customers!AR$29</f>
        <v>15000</v>
      </c>
      <c r="AS53" s="4">
        <f ca="1" xml:space="preserve">  Customers!AS$29</f>
        <v>15000</v>
      </c>
      <c r="AT53" s="4">
        <f ca="1" xml:space="preserve">  Customers!AT$29</f>
        <v>20000</v>
      </c>
      <c r="AU53" s="4">
        <f ca="1" xml:space="preserve">  Customers!AU$29</f>
        <v>15000</v>
      </c>
      <c r="AV53" s="4">
        <f ca="1" xml:space="preserve">  Customers!AV$29</f>
        <v>20000</v>
      </c>
      <c r="AW53" s="4">
        <f ca="1" xml:space="preserve">  Customers!AW$29</f>
        <v>25000</v>
      </c>
      <c r="AX53" s="4">
        <f ca="1" xml:space="preserve">  Customers!AX$29</f>
        <v>20000</v>
      </c>
      <c r="AY53" s="4">
        <f ca="1" xml:space="preserve">  Customers!AY$29</f>
        <v>25000</v>
      </c>
      <c r="AZ53" s="4">
        <f ca="1" xml:space="preserve">  Customers!AZ$29</f>
        <v>25000</v>
      </c>
      <c r="BA53" s="4">
        <f ca="1" xml:space="preserve">  Customers!BA$29</f>
        <v>25000</v>
      </c>
      <c r="BB53" s="4">
        <f ca="1" xml:space="preserve">  Customers!BB$29</f>
        <v>25000</v>
      </c>
      <c r="BC53" s="4">
        <f ca="1" xml:space="preserve">  Customers!BC$29</f>
        <v>30000</v>
      </c>
      <c r="BD53" s="4">
        <f ca="1" xml:space="preserve">  Customers!BD$29</f>
        <v>30000.000000000004</v>
      </c>
      <c r="BE53" s="4">
        <f ca="1" xml:space="preserve">  Customers!BE$29</f>
        <v>35000</v>
      </c>
      <c r="BF53" s="4">
        <f ca="1" xml:space="preserve">  Customers!BF$29</f>
        <v>35000</v>
      </c>
      <c r="BG53" s="4">
        <f ca="1" xml:space="preserve">  Customers!BG$29</f>
        <v>35000</v>
      </c>
      <c r="BH53" s="4">
        <f ca="1" xml:space="preserve">  Customers!BH$29</f>
        <v>40000</v>
      </c>
      <c r="BI53" s="4">
        <f ca="1" xml:space="preserve">  Customers!BI$29</f>
        <v>40000</v>
      </c>
      <c r="BJ53" s="4">
        <f ca="1" xml:space="preserve">  Customers!BJ$29</f>
        <v>45000</v>
      </c>
      <c r="BK53" s="4">
        <f ca="1" xml:space="preserve">  Customers!BK$29</f>
        <v>45000</v>
      </c>
      <c r="BL53" s="4">
        <f ca="1" xml:space="preserve">  Customers!BL$29</f>
        <v>49999.999999999993</v>
      </c>
      <c r="BM53" s="4">
        <f ca="1" xml:space="preserve">  Customers!BM$29</f>
        <v>50000.000000000007</v>
      </c>
      <c r="BN53" s="4">
        <f ca="1" xml:space="preserve">  Customers!BN$29</f>
        <v>54999.999999999985</v>
      </c>
      <c r="BO53" s="4">
        <f ca="1" xml:space="preserve">  Customers!BO$29</f>
        <v>60000</v>
      </c>
      <c r="BP53" s="4">
        <f ca="1" xml:space="preserve">  Customers!BP$29</f>
        <v>60000</v>
      </c>
      <c r="BQ53" s="4">
        <f ca="1" xml:space="preserve">  Customers!BQ$29</f>
        <v>65000</v>
      </c>
    </row>
    <row r="54" spans="1:69" outlineLevel="1">
      <c r="A54" s="34"/>
      <c r="B54" s="34"/>
      <c r="C54" s="64"/>
      <c r="D54" s="65"/>
      <c r="E54" s="21" t="s">
        <v>246</v>
      </c>
      <c r="F54" s="21"/>
      <c r="G54" s="21" t="s">
        <v>122</v>
      </c>
      <c r="H54" s="3">
        <f ca="1" xml:space="preserve"> SUM( J54:BQ54 )</f>
        <v>1070000</v>
      </c>
      <c r="I54" s="21"/>
      <c r="J54" s="3">
        <f t="shared" ref="J54:BQ54" si="10" xml:space="preserve">  J53</f>
        <v>0</v>
      </c>
      <c r="K54" s="3">
        <f t="shared" ca="1" si="10"/>
        <v>0</v>
      </c>
      <c r="L54" s="3">
        <f t="shared" ca="1" si="10"/>
        <v>2000</v>
      </c>
      <c r="M54" s="3">
        <f t="shared" ca="1" si="10"/>
        <v>1000</v>
      </c>
      <c r="N54" s="3">
        <f t="shared" ca="1" si="10"/>
        <v>1000</v>
      </c>
      <c r="O54" s="3">
        <f t="shared" ca="1" si="10"/>
        <v>1000</v>
      </c>
      <c r="P54" s="3">
        <f t="shared" ca="1" si="10"/>
        <v>5000</v>
      </c>
      <c r="Q54" s="3">
        <f t="shared" ca="1" si="10"/>
        <v>3000</v>
      </c>
      <c r="R54" s="3">
        <f t="shared" ca="1" si="10"/>
        <v>2000</v>
      </c>
      <c r="S54" s="3">
        <f t="shared" ca="1" si="10"/>
        <v>0</v>
      </c>
      <c r="T54" s="3">
        <f t="shared" ca="1" si="10"/>
        <v>10000</v>
      </c>
      <c r="U54" s="3">
        <f t="shared" ca="1" si="10"/>
        <v>0</v>
      </c>
      <c r="V54" s="3">
        <f t="shared" ca="1" si="10"/>
        <v>10000</v>
      </c>
      <c r="W54" s="3">
        <f t="shared" ca="1" si="10"/>
        <v>8297.3154717964753</v>
      </c>
      <c r="X54" s="3">
        <f t="shared" ca="1" si="10"/>
        <v>1702.6845282035247</v>
      </c>
      <c r="Y54" s="3">
        <f t="shared" ca="1" si="10"/>
        <v>9855.6612883569433</v>
      </c>
      <c r="Z54" s="3">
        <f t="shared" ca="1" si="10"/>
        <v>144.33871164305674</v>
      </c>
      <c r="AA54" s="3">
        <f t="shared" ca="1" si="10"/>
        <v>0</v>
      </c>
      <c r="AB54" s="3">
        <f t="shared" ca="1" si="10"/>
        <v>0</v>
      </c>
      <c r="AC54" s="3">
        <f t="shared" ca="1" si="10"/>
        <v>0</v>
      </c>
      <c r="AD54" s="3">
        <f t="shared" ca="1" si="10"/>
        <v>0</v>
      </c>
      <c r="AE54" s="3">
        <f t="shared" ca="1" si="10"/>
        <v>5000</v>
      </c>
      <c r="AF54" s="3">
        <f t="shared" ca="1" si="10"/>
        <v>5000</v>
      </c>
      <c r="AG54" s="3">
        <f t="shared" ca="1" si="10"/>
        <v>5000</v>
      </c>
      <c r="AH54" s="3">
        <f t="shared" ca="1" si="10"/>
        <v>10000</v>
      </c>
      <c r="AI54" s="3">
        <f t="shared" ca="1" si="10"/>
        <v>5000</v>
      </c>
      <c r="AJ54" s="3">
        <f t="shared" ca="1" si="10"/>
        <v>10000</v>
      </c>
      <c r="AK54" s="3">
        <f t="shared" ca="1" si="10"/>
        <v>5000</v>
      </c>
      <c r="AL54" s="3">
        <f t="shared" ca="1" si="10"/>
        <v>10000</v>
      </c>
      <c r="AM54" s="3">
        <f t="shared" ca="1" si="10"/>
        <v>10000</v>
      </c>
      <c r="AN54" s="3">
        <f t="shared" ca="1" si="10"/>
        <v>10000</v>
      </c>
      <c r="AO54" s="3">
        <f t="shared" ca="1" si="10"/>
        <v>10000</v>
      </c>
      <c r="AP54" s="3">
        <f t="shared" ca="1" si="10"/>
        <v>15000</v>
      </c>
      <c r="AQ54" s="3">
        <f t="shared" ca="1" si="10"/>
        <v>10000</v>
      </c>
      <c r="AR54" s="3">
        <f t="shared" ca="1" si="10"/>
        <v>15000</v>
      </c>
      <c r="AS54" s="3">
        <f t="shared" ca="1" si="10"/>
        <v>15000</v>
      </c>
      <c r="AT54" s="3">
        <f t="shared" ca="1" si="10"/>
        <v>20000</v>
      </c>
      <c r="AU54" s="3">
        <f t="shared" ca="1" si="10"/>
        <v>15000</v>
      </c>
      <c r="AV54" s="3">
        <f t="shared" ca="1" si="10"/>
        <v>20000</v>
      </c>
      <c r="AW54" s="3">
        <f t="shared" ca="1" si="10"/>
        <v>25000</v>
      </c>
      <c r="AX54" s="3">
        <f t="shared" ca="1" si="10"/>
        <v>20000</v>
      </c>
      <c r="AY54" s="3">
        <f t="shared" ca="1" si="10"/>
        <v>25000</v>
      </c>
      <c r="AZ54" s="3">
        <f t="shared" ca="1" si="10"/>
        <v>25000</v>
      </c>
      <c r="BA54" s="3">
        <f t="shared" ca="1" si="10"/>
        <v>25000</v>
      </c>
      <c r="BB54" s="3">
        <f t="shared" ca="1" si="10"/>
        <v>25000</v>
      </c>
      <c r="BC54" s="3">
        <f t="shared" ca="1" si="10"/>
        <v>30000</v>
      </c>
      <c r="BD54" s="3">
        <f t="shared" ca="1" si="10"/>
        <v>30000.000000000004</v>
      </c>
      <c r="BE54" s="3">
        <f t="shared" ca="1" si="10"/>
        <v>35000</v>
      </c>
      <c r="BF54" s="3">
        <f t="shared" ca="1" si="10"/>
        <v>35000</v>
      </c>
      <c r="BG54" s="3">
        <f t="shared" ca="1" si="10"/>
        <v>35000</v>
      </c>
      <c r="BH54" s="3">
        <f t="shared" ca="1" si="10"/>
        <v>40000</v>
      </c>
      <c r="BI54" s="3">
        <f t="shared" ca="1" si="10"/>
        <v>40000</v>
      </c>
      <c r="BJ54" s="3">
        <f t="shared" ca="1" si="10"/>
        <v>45000</v>
      </c>
      <c r="BK54" s="3">
        <f t="shared" ca="1" si="10"/>
        <v>45000</v>
      </c>
      <c r="BL54" s="3">
        <f t="shared" ca="1" si="10"/>
        <v>49999.999999999993</v>
      </c>
      <c r="BM54" s="3">
        <f t="shared" ca="1" si="10"/>
        <v>50000.000000000007</v>
      </c>
      <c r="BN54" s="3">
        <f t="shared" ca="1" si="10"/>
        <v>54999.999999999985</v>
      </c>
      <c r="BO54" s="3">
        <f t="shared" ca="1" si="10"/>
        <v>60000</v>
      </c>
      <c r="BP54" s="3">
        <f t="shared" ca="1" si="10"/>
        <v>60000</v>
      </c>
      <c r="BQ54" s="3">
        <f t="shared" ca="1" si="10"/>
        <v>65000</v>
      </c>
    </row>
    <row r="57" spans="1:69">
      <c r="B57" s="25" t="s">
        <v>130</v>
      </c>
    </row>
    <row r="58" spans="1:69" s="80" customFormat="1">
      <c r="A58" s="60"/>
      <c r="B58" s="60"/>
      <c r="C58" s="82"/>
      <c r="D58" s="85"/>
      <c r="E58" s="40" t="str">
        <f xml:space="preserve">  InpC!E$42</f>
        <v>Opening Units in stock</v>
      </c>
      <c r="F58" s="40">
        <f xml:space="preserve">  InpC!F$42</f>
        <v>0</v>
      </c>
      <c r="G58" s="40" t="str">
        <f xml:space="preserve">  InpC!G$42</f>
        <v>Units</v>
      </c>
      <c r="M58" s="87"/>
    </row>
    <row r="59" spans="1:69">
      <c r="A59" s="18"/>
      <c r="B59" s="18"/>
      <c r="C59" s="28"/>
      <c r="D59" s="27"/>
      <c r="E59" s="9" t="str">
        <f xml:space="preserve">  Time!E$28</f>
        <v>Period number</v>
      </c>
      <c r="F59" s="9">
        <f xml:space="preserve">  Time!F$28</f>
        <v>0</v>
      </c>
      <c r="G59" s="9" t="str">
        <f xml:space="preserve">  Time!G$28</f>
        <v>Counter</v>
      </c>
      <c r="H59" s="9">
        <f xml:space="preserve">  Time!H$28</f>
        <v>0</v>
      </c>
      <c r="I59" s="9">
        <f xml:space="preserve">  Time!I$28</f>
        <v>0</v>
      </c>
      <c r="J59" s="9">
        <f xml:space="preserve">  Time!J$28</f>
        <v>1</v>
      </c>
      <c r="K59" s="9">
        <f xml:space="preserve">  Time!K$28</f>
        <v>2</v>
      </c>
      <c r="L59" s="9">
        <f xml:space="preserve">  Time!L$28</f>
        <v>3</v>
      </c>
      <c r="M59" s="9">
        <f xml:space="preserve">  Time!M$28</f>
        <v>4</v>
      </c>
      <c r="N59" s="9">
        <f xml:space="preserve">  Time!N$28</f>
        <v>5</v>
      </c>
      <c r="O59" s="9">
        <f xml:space="preserve">  Time!O$28</f>
        <v>6</v>
      </c>
      <c r="P59" s="9">
        <f xml:space="preserve">  Time!P$28</f>
        <v>7</v>
      </c>
      <c r="Q59" s="9">
        <f xml:space="preserve">  Time!Q$28</f>
        <v>8</v>
      </c>
      <c r="R59" s="9">
        <f xml:space="preserve">  Time!R$28</f>
        <v>9</v>
      </c>
      <c r="S59" s="9">
        <f xml:space="preserve">  Time!S$28</f>
        <v>10</v>
      </c>
      <c r="T59" s="9">
        <f xml:space="preserve">  Time!T$28</f>
        <v>11</v>
      </c>
      <c r="U59" s="9">
        <f xml:space="preserve">  Time!U$28</f>
        <v>12</v>
      </c>
      <c r="V59" s="9">
        <f xml:space="preserve">  Time!V$28</f>
        <v>13</v>
      </c>
      <c r="W59" s="9">
        <f xml:space="preserve">  Time!W$28</f>
        <v>14</v>
      </c>
      <c r="X59" s="9">
        <f xml:space="preserve">  Time!X$28</f>
        <v>15</v>
      </c>
      <c r="Y59" s="9">
        <f xml:space="preserve">  Time!Y$28</f>
        <v>16</v>
      </c>
      <c r="Z59" s="9">
        <f xml:space="preserve">  Time!Z$28</f>
        <v>17</v>
      </c>
      <c r="AA59" s="9">
        <f xml:space="preserve">  Time!AA$28</f>
        <v>18</v>
      </c>
      <c r="AB59" s="9">
        <f xml:space="preserve">  Time!AB$28</f>
        <v>19</v>
      </c>
      <c r="AC59" s="9">
        <f xml:space="preserve">  Time!AC$28</f>
        <v>20</v>
      </c>
      <c r="AD59" s="9">
        <f xml:space="preserve">  Time!AD$28</f>
        <v>21</v>
      </c>
      <c r="AE59" s="9">
        <f xml:space="preserve">  Time!AE$28</f>
        <v>22</v>
      </c>
      <c r="AF59" s="9">
        <f xml:space="preserve">  Time!AF$28</f>
        <v>23</v>
      </c>
      <c r="AG59" s="9">
        <f xml:space="preserve">  Time!AG$28</f>
        <v>24</v>
      </c>
      <c r="AH59" s="9">
        <f xml:space="preserve">  Time!AH$28</f>
        <v>25</v>
      </c>
      <c r="AI59" s="9">
        <f xml:space="preserve">  Time!AI$28</f>
        <v>26</v>
      </c>
      <c r="AJ59" s="9">
        <f xml:space="preserve">  Time!AJ$28</f>
        <v>27</v>
      </c>
      <c r="AK59" s="9">
        <f xml:space="preserve">  Time!AK$28</f>
        <v>28</v>
      </c>
      <c r="AL59" s="9">
        <f xml:space="preserve">  Time!AL$28</f>
        <v>29</v>
      </c>
      <c r="AM59" s="9">
        <f xml:space="preserve">  Time!AM$28</f>
        <v>30</v>
      </c>
      <c r="AN59" s="9">
        <f xml:space="preserve">  Time!AN$28</f>
        <v>31</v>
      </c>
      <c r="AO59" s="9">
        <f xml:space="preserve">  Time!AO$28</f>
        <v>32</v>
      </c>
      <c r="AP59" s="9">
        <f xml:space="preserve">  Time!AP$28</f>
        <v>33</v>
      </c>
      <c r="AQ59" s="9">
        <f xml:space="preserve">  Time!AQ$28</f>
        <v>34</v>
      </c>
      <c r="AR59" s="9">
        <f xml:space="preserve">  Time!AR$28</f>
        <v>35</v>
      </c>
      <c r="AS59" s="9">
        <f xml:space="preserve">  Time!AS$28</f>
        <v>36</v>
      </c>
      <c r="AT59" s="9">
        <f xml:space="preserve">  Time!AT$28</f>
        <v>37</v>
      </c>
      <c r="AU59" s="9">
        <f xml:space="preserve">  Time!AU$28</f>
        <v>38</v>
      </c>
      <c r="AV59" s="9">
        <f xml:space="preserve">  Time!AV$28</f>
        <v>39</v>
      </c>
      <c r="AW59" s="9">
        <f xml:space="preserve">  Time!AW$28</f>
        <v>40</v>
      </c>
      <c r="AX59" s="9">
        <f xml:space="preserve">  Time!AX$28</f>
        <v>41</v>
      </c>
      <c r="AY59" s="9">
        <f xml:space="preserve">  Time!AY$28</f>
        <v>42</v>
      </c>
      <c r="AZ59" s="9">
        <f xml:space="preserve">  Time!AZ$28</f>
        <v>43</v>
      </c>
      <c r="BA59" s="9">
        <f xml:space="preserve">  Time!BA$28</f>
        <v>44</v>
      </c>
      <c r="BB59" s="9">
        <f xml:space="preserve">  Time!BB$28</f>
        <v>45</v>
      </c>
      <c r="BC59" s="9">
        <f xml:space="preserve">  Time!BC$28</f>
        <v>46</v>
      </c>
      <c r="BD59" s="9">
        <f xml:space="preserve">  Time!BD$28</f>
        <v>47</v>
      </c>
      <c r="BE59" s="9">
        <f xml:space="preserve">  Time!BE$28</f>
        <v>48</v>
      </c>
      <c r="BF59" s="9">
        <f xml:space="preserve">  Time!BF$28</f>
        <v>49</v>
      </c>
      <c r="BG59" s="9">
        <f xml:space="preserve">  Time!BG$28</f>
        <v>50</v>
      </c>
      <c r="BH59" s="9">
        <f xml:space="preserve">  Time!BH$28</f>
        <v>51</v>
      </c>
      <c r="BI59" s="9">
        <f xml:space="preserve">  Time!BI$28</f>
        <v>52</v>
      </c>
      <c r="BJ59" s="9">
        <f xml:space="preserve">  Time!BJ$28</f>
        <v>53</v>
      </c>
      <c r="BK59" s="9">
        <f xml:space="preserve">  Time!BK$28</f>
        <v>54</v>
      </c>
      <c r="BL59" s="9">
        <f xml:space="preserve">  Time!BL$28</f>
        <v>55</v>
      </c>
      <c r="BM59" s="9">
        <f xml:space="preserve">  Time!BM$28</f>
        <v>56</v>
      </c>
      <c r="BN59" s="9">
        <f xml:space="preserve">  Time!BN$28</f>
        <v>57</v>
      </c>
      <c r="BO59" s="9">
        <f xml:space="preserve">  Time!BO$28</f>
        <v>58</v>
      </c>
      <c r="BP59" s="9">
        <f xml:space="preserve">  Time!BP$28</f>
        <v>59</v>
      </c>
      <c r="BQ59" s="9">
        <f xml:space="preserve">  Time!BQ$28</f>
        <v>60</v>
      </c>
    </row>
    <row r="60" spans="1:69">
      <c r="A60" s="34"/>
      <c r="B60" s="34"/>
      <c r="C60" s="64"/>
      <c r="D60" s="65"/>
      <c r="E60" s="21" t="s">
        <v>138</v>
      </c>
      <c r="F60" s="21"/>
      <c r="G60" s="21" t="s">
        <v>122</v>
      </c>
      <c r="H60" s="21"/>
      <c r="I60" s="21"/>
      <c r="J60" s="3">
        <f t="shared" ref="J60:BQ60" si="11" xml:space="preserve">  I65</f>
        <v>0</v>
      </c>
      <c r="K60" s="3">
        <f t="shared" ca="1" si="11"/>
        <v>0</v>
      </c>
      <c r="L60" s="3">
        <f t="shared" ca="1" si="11"/>
        <v>5000</v>
      </c>
      <c r="M60" s="3">
        <f t="shared" ca="1" si="11"/>
        <v>3000</v>
      </c>
      <c r="N60" s="3">
        <f t="shared" ca="1" si="11"/>
        <v>2000</v>
      </c>
      <c r="O60" s="3">
        <f t="shared" ca="1" si="11"/>
        <v>1000</v>
      </c>
      <c r="P60" s="3">
        <f t="shared" ca="1" si="11"/>
        <v>10000</v>
      </c>
      <c r="Q60" s="3">
        <f t="shared" ca="1" si="11"/>
        <v>5000</v>
      </c>
      <c r="R60" s="3">
        <f t="shared" ca="1" si="11"/>
        <v>2000</v>
      </c>
      <c r="S60" s="3">
        <f t="shared" ca="1" si="11"/>
        <v>0</v>
      </c>
      <c r="T60" s="3">
        <f t="shared" ca="1" si="11"/>
        <v>10000</v>
      </c>
      <c r="U60" s="3">
        <f t="shared" ca="1" si="11"/>
        <v>0</v>
      </c>
      <c r="V60" s="3">
        <f t="shared" ca="1" si="11"/>
        <v>10000</v>
      </c>
      <c r="W60" s="3">
        <f t="shared" ca="1" si="11"/>
        <v>10000</v>
      </c>
      <c r="X60" s="3">
        <f t="shared" ca="1" si="11"/>
        <v>1702.6845282035247</v>
      </c>
      <c r="Y60" s="3">
        <f t="shared" ca="1" si="11"/>
        <v>10000</v>
      </c>
      <c r="Z60" s="3">
        <f t="shared" ca="1" si="11"/>
        <v>144.33871164305674</v>
      </c>
      <c r="AA60" s="3">
        <f t="shared" ca="1" si="11"/>
        <v>0</v>
      </c>
      <c r="AB60" s="3">
        <f t="shared" ca="1" si="11"/>
        <v>0</v>
      </c>
      <c r="AC60" s="3">
        <f t="shared" ca="1" si="11"/>
        <v>0</v>
      </c>
      <c r="AD60" s="3">
        <f t="shared" ca="1" si="11"/>
        <v>0</v>
      </c>
      <c r="AE60" s="3">
        <f t="shared" ca="1" si="11"/>
        <v>5000</v>
      </c>
      <c r="AF60" s="3">
        <f t="shared" ca="1" si="11"/>
        <v>5000</v>
      </c>
      <c r="AG60" s="3">
        <f t="shared" ca="1" si="11"/>
        <v>5000</v>
      </c>
      <c r="AH60" s="3">
        <f t="shared" ca="1" si="11"/>
        <v>10000</v>
      </c>
      <c r="AI60" s="3">
        <f t="shared" ca="1" si="11"/>
        <v>5000</v>
      </c>
      <c r="AJ60" s="3">
        <f t="shared" ca="1" si="11"/>
        <v>10000</v>
      </c>
      <c r="AK60" s="3">
        <f t="shared" ca="1" si="11"/>
        <v>5000</v>
      </c>
      <c r="AL60" s="3">
        <f t="shared" ca="1" si="11"/>
        <v>10000</v>
      </c>
      <c r="AM60" s="3">
        <f t="shared" ca="1" si="11"/>
        <v>10000</v>
      </c>
      <c r="AN60" s="3">
        <f t="shared" ca="1" si="11"/>
        <v>10000</v>
      </c>
      <c r="AO60" s="3">
        <f t="shared" ca="1" si="11"/>
        <v>10000</v>
      </c>
      <c r="AP60" s="3">
        <f t="shared" ca="1" si="11"/>
        <v>15000</v>
      </c>
      <c r="AQ60" s="3">
        <f t="shared" ca="1" si="11"/>
        <v>10000</v>
      </c>
      <c r="AR60" s="3">
        <f t="shared" ca="1" si="11"/>
        <v>15000</v>
      </c>
      <c r="AS60" s="3">
        <f t="shared" ca="1" si="11"/>
        <v>15000</v>
      </c>
      <c r="AT60" s="3">
        <f t="shared" ca="1" si="11"/>
        <v>20000</v>
      </c>
      <c r="AU60" s="3">
        <f t="shared" ca="1" si="11"/>
        <v>15000</v>
      </c>
      <c r="AV60" s="3">
        <f t="shared" ca="1" si="11"/>
        <v>20000</v>
      </c>
      <c r="AW60" s="3">
        <f t="shared" ca="1" si="11"/>
        <v>25000</v>
      </c>
      <c r="AX60" s="3">
        <f t="shared" ca="1" si="11"/>
        <v>20000</v>
      </c>
      <c r="AY60" s="3">
        <f t="shared" ca="1" si="11"/>
        <v>25000</v>
      </c>
      <c r="AZ60" s="3">
        <f t="shared" ca="1" si="11"/>
        <v>25000</v>
      </c>
      <c r="BA60" s="3">
        <f t="shared" ca="1" si="11"/>
        <v>25000</v>
      </c>
      <c r="BB60" s="3">
        <f t="shared" ca="1" si="11"/>
        <v>25000</v>
      </c>
      <c r="BC60" s="3">
        <f t="shared" ca="1" si="11"/>
        <v>30000</v>
      </c>
      <c r="BD60" s="3">
        <f t="shared" ca="1" si="11"/>
        <v>30000.000000000004</v>
      </c>
      <c r="BE60" s="3">
        <f t="shared" ca="1" si="11"/>
        <v>35000</v>
      </c>
      <c r="BF60" s="3">
        <f t="shared" ca="1" si="11"/>
        <v>35000</v>
      </c>
      <c r="BG60" s="3">
        <f t="shared" ca="1" si="11"/>
        <v>35000</v>
      </c>
      <c r="BH60" s="3">
        <f t="shared" ca="1" si="11"/>
        <v>40000</v>
      </c>
      <c r="BI60" s="3">
        <f t="shared" ca="1" si="11"/>
        <v>40000</v>
      </c>
      <c r="BJ60" s="3">
        <f t="shared" ca="1" si="11"/>
        <v>45000</v>
      </c>
      <c r="BK60" s="3">
        <f t="shared" ca="1" si="11"/>
        <v>45000</v>
      </c>
      <c r="BL60" s="3">
        <f t="shared" ca="1" si="11"/>
        <v>49999.999999999993</v>
      </c>
      <c r="BM60" s="3">
        <f t="shared" ca="1" si="11"/>
        <v>50000.000000000007</v>
      </c>
      <c r="BN60" s="3">
        <f t="shared" ca="1" si="11"/>
        <v>54999.999999999985</v>
      </c>
      <c r="BO60" s="3">
        <f t="shared" ca="1" si="11"/>
        <v>60000</v>
      </c>
      <c r="BP60" s="3">
        <f t="shared" ca="1" si="11"/>
        <v>60000</v>
      </c>
      <c r="BQ60" s="3">
        <f t="shared" ca="1" si="11"/>
        <v>65000</v>
      </c>
    </row>
    <row r="61" spans="1:69">
      <c r="D61" s="94" t="s">
        <v>220</v>
      </c>
      <c r="E61" s="2" t="str">
        <f t="shared" ref="E61:BQ61" si="12" xml:space="preserve">  E$41</f>
        <v>Units delivered</v>
      </c>
      <c r="F61" s="2">
        <f t="shared" si="12"/>
        <v>0</v>
      </c>
      <c r="G61" s="2" t="str">
        <f t="shared" si="12"/>
        <v>Units</v>
      </c>
      <c r="H61" s="2">
        <f t="shared" ca="1" si="12"/>
        <v>1140000</v>
      </c>
      <c r="I61" s="2">
        <f t="shared" si="12"/>
        <v>0</v>
      </c>
      <c r="J61" s="2">
        <f t="shared" ca="1" si="12"/>
        <v>0</v>
      </c>
      <c r="K61" s="2">
        <f t="shared" ca="1" si="12"/>
        <v>5000</v>
      </c>
      <c r="L61" s="2">
        <f t="shared" ca="1" si="12"/>
        <v>0</v>
      </c>
      <c r="M61" s="2">
        <f t="shared" ca="1" si="12"/>
        <v>0</v>
      </c>
      <c r="N61" s="2">
        <f t="shared" ca="1" si="12"/>
        <v>0</v>
      </c>
      <c r="O61" s="2">
        <f t="shared" ca="1" si="12"/>
        <v>10000</v>
      </c>
      <c r="P61" s="2">
        <f t="shared" ca="1" si="12"/>
        <v>0</v>
      </c>
      <c r="Q61" s="2">
        <f t="shared" ca="1" si="12"/>
        <v>0</v>
      </c>
      <c r="R61" s="2">
        <f t="shared" ca="1" si="12"/>
        <v>0</v>
      </c>
      <c r="S61" s="2">
        <f t="shared" ca="1" si="12"/>
        <v>10000</v>
      </c>
      <c r="T61" s="2">
        <f t="shared" ca="1" si="12"/>
        <v>0</v>
      </c>
      <c r="U61" s="2">
        <f t="shared" ca="1" si="12"/>
        <v>10000</v>
      </c>
      <c r="V61" s="2">
        <f t="shared" ca="1" si="12"/>
        <v>10000</v>
      </c>
      <c r="W61" s="2">
        <f t="shared" ca="1" si="12"/>
        <v>0</v>
      </c>
      <c r="X61" s="2">
        <f t="shared" ca="1" si="12"/>
        <v>10000</v>
      </c>
      <c r="Y61" s="2">
        <f t="shared" ca="1" si="12"/>
        <v>0</v>
      </c>
      <c r="Z61" s="2">
        <f t="shared" ca="1" si="12"/>
        <v>0</v>
      </c>
      <c r="AA61" s="2">
        <f t="shared" ca="1" si="12"/>
        <v>0</v>
      </c>
      <c r="AB61" s="2">
        <f t="shared" ca="1" si="12"/>
        <v>0</v>
      </c>
      <c r="AC61" s="2">
        <f t="shared" ca="1" si="12"/>
        <v>0</v>
      </c>
      <c r="AD61" s="2">
        <f t="shared" ca="1" si="12"/>
        <v>5000</v>
      </c>
      <c r="AE61" s="2">
        <f t="shared" ca="1" si="12"/>
        <v>5000</v>
      </c>
      <c r="AF61" s="2">
        <f t="shared" ca="1" si="12"/>
        <v>5000</v>
      </c>
      <c r="AG61" s="2">
        <f t="shared" ca="1" si="12"/>
        <v>10000</v>
      </c>
      <c r="AH61" s="2">
        <f t="shared" ca="1" si="12"/>
        <v>5000</v>
      </c>
      <c r="AI61" s="2">
        <f t="shared" ca="1" si="12"/>
        <v>10000</v>
      </c>
      <c r="AJ61" s="2">
        <f t="shared" ca="1" si="12"/>
        <v>5000</v>
      </c>
      <c r="AK61" s="2">
        <f t="shared" ca="1" si="12"/>
        <v>10000</v>
      </c>
      <c r="AL61" s="2">
        <f t="shared" ca="1" si="12"/>
        <v>10000</v>
      </c>
      <c r="AM61" s="2">
        <f t="shared" ca="1" si="12"/>
        <v>10000</v>
      </c>
      <c r="AN61" s="2">
        <f t="shared" ca="1" si="12"/>
        <v>10000</v>
      </c>
      <c r="AO61" s="2">
        <f t="shared" ca="1" si="12"/>
        <v>15000</v>
      </c>
      <c r="AP61" s="2">
        <f t="shared" ca="1" si="12"/>
        <v>10000</v>
      </c>
      <c r="AQ61" s="2">
        <f t="shared" ca="1" si="12"/>
        <v>15000</v>
      </c>
      <c r="AR61" s="2">
        <f t="shared" ca="1" si="12"/>
        <v>15000</v>
      </c>
      <c r="AS61" s="2">
        <f t="shared" ca="1" si="12"/>
        <v>20000</v>
      </c>
      <c r="AT61" s="2">
        <f t="shared" ca="1" si="12"/>
        <v>15000</v>
      </c>
      <c r="AU61" s="2">
        <f t="shared" ca="1" si="12"/>
        <v>20000</v>
      </c>
      <c r="AV61" s="2">
        <f t="shared" ca="1" si="12"/>
        <v>25000</v>
      </c>
      <c r="AW61" s="2">
        <f t="shared" ca="1" si="12"/>
        <v>20000</v>
      </c>
      <c r="AX61" s="2">
        <f t="shared" ca="1" si="12"/>
        <v>25000</v>
      </c>
      <c r="AY61" s="2">
        <f t="shared" ca="1" si="12"/>
        <v>25000</v>
      </c>
      <c r="AZ61" s="2">
        <f t="shared" ca="1" si="12"/>
        <v>25000</v>
      </c>
      <c r="BA61" s="2">
        <f t="shared" ca="1" si="12"/>
        <v>25000</v>
      </c>
      <c r="BB61" s="2">
        <f t="shared" ca="1" si="12"/>
        <v>30000</v>
      </c>
      <c r="BC61" s="2">
        <f t="shared" ca="1" si="12"/>
        <v>30000</v>
      </c>
      <c r="BD61" s="2">
        <f t="shared" ca="1" si="12"/>
        <v>35000</v>
      </c>
      <c r="BE61" s="2">
        <f t="shared" ca="1" si="12"/>
        <v>35000</v>
      </c>
      <c r="BF61" s="2">
        <f t="shared" ca="1" si="12"/>
        <v>35000</v>
      </c>
      <c r="BG61" s="2">
        <f t="shared" ca="1" si="12"/>
        <v>40000</v>
      </c>
      <c r="BH61" s="2">
        <f t="shared" ca="1" si="12"/>
        <v>40000</v>
      </c>
      <c r="BI61" s="2">
        <f t="shared" ca="1" si="12"/>
        <v>45000</v>
      </c>
      <c r="BJ61" s="2">
        <f t="shared" ca="1" si="12"/>
        <v>45000</v>
      </c>
      <c r="BK61" s="2">
        <f t="shared" ca="1" si="12"/>
        <v>50000</v>
      </c>
      <c r="BL61" s="2">
        <f t="shared" ca="1" si="12"/>
        <v>50000</v>
      </c>
      <c r="BM61" s="2">
        <f t="shared" ca="1" si="12"/>
        <v>55000</v>
      </c>
      <c r="BN61" s="2">
        <f t="shared" ca="1" si="12"/>
        <v>60000</v>
      </c>
      <c r="BO61" s="2">
        <f t="shared" ca="1" si="12"/>
        <v>60000</v>
      </c>
      <c r="BP61" s="2">
        <f t="shared" ca="1" si="12"/>
        <v>65000</v>
      </c>
      <c r="BQ61" s="2">
        <f t="shared" ca="1" si="12"/>
        <v>70000</v>
      </c>
    </row>
    <row r="62" spans="1:69">
      <c r="D62" s="94" t="s">
        <v>220</v>
      </c>
      <c r="E62" s="2" t="str">
        <f t="shared" ref="E62:BQ62" si="13" xml:space="preserve">  E$77</f>
        <v>Units retired</v>
      </c>
      <c r="F62" s="2">
        <f t="shared" si="13"/>
        <v>0</v>
      </c>
      <c r="G62" s="2" t="str">
        <f t="shared" si="13"/>
        <v>Units</v>
      </c>
      <c r="H62" s="2">
        <f t="shared" ca="1" si="13"/>
        <v>339457.30617658654</v>
      </c>
      <c r="I62" s="2">
        <f t="shared" si="13"/>
        <v>0</v>
      </c>
      <c r="J62" s="2">
        <f t="shared" ca="1" si="13"/>
        <v>0</v>
      </c>
      <c r="K62" s="2">
        <f t="shared" ca="1" si="13"/>
        <v>0</v>
      </c>
      <c r="L62" s="2">
        <f t="shared" ca="1" si="13"/>
        <v>0</v>
      </c>
      <c r="M62" s="2">
        <f t="shared" ca="1" si="13"/>
        <v>0</v>
      </c>
      <c r="N62" s="2">
        <f t="shared" ca="1" si="13"/>
        <v>0</v>
      </c>
      <c r="O62" s="2">
        <f t="shared" ca="1" si="13"/>
        <v>0</v>
      </c>
      <c r="P62" s="2">
        <f t="shared" ca="1" si="13"/>
        <v>0</v>
      </c>
      <c r="Q62" s="2">
        <f t="shared" ca="1" si="13"/>
        <v>0</v>
      </c>
      <c r="R62" s="2">
        <f t="shared" ca="1" si="13"/>
        <v>0</v>
      </c>
      <c r="S62" s="2">
        <f t="shared" ca="1" si="13"/>
        <v>0</v>
      </c>
      <c r="T62" s="2">
        <f t="shared" ca="1" si="13"/>
        <v>0</v>
      </c>
      <c r="U62" s="2">
        <f t="shared" ca="1" si="13"/>
        <v>0</v>
      </c>
      <c r="V62" s="2">
        <f t="shared" ca="1" si="13"/>
        <v>0</v>
      </c>
      <c r="W62" s="2">
        <f t="shared" ca="1" si="13"/>
        <v>0</v>
      </c>
      <c r="X62" s="2">
        <f t="shared" ca="1" si="13"/>
        <v>0</v>
      </c>
      <c r="Y62" s="2">
        <f t="shared" ca="1" si="13"/>
        <v>0</v>
      </c>
      <c r="Z62" s="2">
        <f t="shared" ca="1" si="13"/>
        <v>0</v>
      </c>
      <c r="AA62" s="2">
        <f t="shared" ca="1" si="13"/>
        <v>0</v>
      </c>
      <c r="AB62" s="2">
        <f t="shared" ca="1" si="13"/>
        <v>0</v>
      </c>
      <c r="AC62" s="2">
        <f t="shared" ca="1" si="13"/>
        <v>0</v>
      </c>
      <c r="AD62" s="2">
        <f t="shared" ca="1" si="13"/>
        <v>0</v>
      </c>
      <c r="AE62" s="2">
        <f t="shared" ca="1" si="13"/>
        <v>0</v>
      </c>
      <c r="AF62" s="2">
        <f t="shared" ca="1" si="13"/>
        <v>0</v>
      </c>
      <c r="AG62" s="2">
        <f t="shared" ca="1" si="13"/>
        <v>0</v>
      </c>
      <c r="AH62" s="2">
        <f t="shared" ca="1" si="13"/>
        <v>1000</v>
      </c>
      <c r="AI62" s="2">
        <f t="shared" ca="1" si="13"/>
        <v>1000</v>
      </c>
      <c r="AJ62" s="2">
        <f t="shared" ca="1" si="13"/>
        <v>1000</v>
      </c>
      <c r="AK62" s="2">
        <f t="shared" ca="1" si="13"/>
        <v>1000</v>
      </c>
      <c r="AL62" s="2">
        <f t="shared" ca="1" si="13"/>
        <v>3000</v>
      </c>
      <c r="AM62" s="2">
        <f t="shared" ca="1" si="13"/>
        <v>3000</v>
      </c>
      <c r="AN62" s="2">
        <f t="shared" ca="1" si="13"/>
        <v>3000</v>
      </c>
      <c r="AO62" s="2">
        <f t="shared" ca="1" si="13"/>
        <v>5000</v>
      </c>
      <c r="AP62" s="2">
        <f t="shared" ca="1" si="13"/>
        <v>5000</v>
      </c>
      <c r="AQ62" s="2">
        <f t="shared" ca="1" si="13"/>
        <v>5000</v>
      </c>
      <c r="AR62" s="2">
        <f t="shared" ca="1" si="13"/>
        <v>5000</v>
      </c>
      <c r="AS62" s="2">
        <f t="shared" ca="1" si="13"/>
        <v>5000</v>
      </c>
      <c r="AT62" s="2">
        <f t="shared" ca="1" si="13"/>
        <v>5297.3154717964762</v>
      </c>
      <c r="AU62" s="2">
        <f t="shared" ca="1" si="13"/>
        <v>5612.3102415468647</v>
      </c>
      <c r="AV62" s="2">
        <f t="shared" ca="1" si="13"/>
        <v>5946.035575013605</v>
      </c>
      <c r="AW62" s="2">
        <f t="shared" ca="1" si="13"/>
        <v>6299.6052494743653</v>
      </c>
      <c r="AX62" s="2">
        <f t="shared" ca="1" si="13"/>
        <v>6674.1992708501712</v>
      </c>
      <c r="AY62" s="2">
        <f t="shared" ca="1" si="13"/>
        <v>7071.0678118654751</v>
      </c>
      <c r="AZ62" s="2">
        <f t="shared" ca="1" si="13"/>
        <v>7491.5353843834073</v>
      </c>
      <c r="BA62" s="2">
        <f t="shared" ca="1" si="13"/>
        <v>7937.0052598409975</v>
      </c>
      <c r="BB62" s="2">
        <f t="shared" ca="1" si="13"/>
        <v>8408.9641525371462</v>
      </c>
      <c r="BC62" s="2">
        <f t="shared" ca="1" si="13"/>
        <v>8908.9871814033941</v>
      </c>
      <c r="BD62" s="2">
        <f t="shared" ca="1" si="13"/>
        <v>9438.7431268169366</v>
      </c>
      <c r="BE62" s="2">
        <f t="shared" ca="1" si="13"/>
        <v>10000.000000000002</v>
      </c>
      <c r="BF62" s="2">
        <f t="shared" ca="1" si="13"/>
        <v>11494.630943592954</v>
      </c>
      <c r="BG62" s="2">
        <f t="shared" ca="1" si="13"/>
        <v>12124.620483093731</v>
      </c>
      <c r="BH62" s="2">
        <f t="shared" ca="1" si="13"/>
        <v>12792.071150027214</v>
      </c>
      <c r="BI62" s="2">
        <f t="shared" ca="1" si="13"/>
        <v>13499.210498948736</v>
      </c>
      <c r="BJ62" s="2">
        <f t="shared" ca="1" si="13"/>
        <v>16048.39854170035</v>
      </c>
      <c r="BK62" s="2">
        <f t="shared" ca="1" si="13"/>
        <v>16842.135623730959</v>
      </c>
      <c r="BL62" s="2">
        <f t="shared" ca="1" si="13"/>
        <v>17683.070768766825</v>
      </c>
      <c r="BM62" s="2">
        <f t="shared" ca="1" si="13"/>
        <v>20374.010519682004</v>
      </c>
      <c r="BN62" s="2">
        <f t="shared" ca="1" si="13"/>
        <v>21317.9283050743</v>
      </c>
      <c r="BO62" s="2">
        <f t="shared" ca="1" si="13"/>
        <v>22317.974362806795</v>
      </c>
      <c r="BP62" s="2">
        <f t="shared" ca="1" si="13"/>
        <v>23377.486253633881</v>
      </c>
      <c r="BQ62" s="2">
        <f t="shared" ca="1" si="13"/>
        <v>24500.000000000011</v>
      </c>
    </row>
    <row r="63" spans="1:69">
      <c r="D63" s="94" t="s">
        <v>299</v>
      </c>
      <c r="E63" s="2" t="str">
        <f t="shared" ref="E63:BQ63" si="14" xml:space="preserve">  E$54</f>
        <v>Units deployed</v>
      </c>
      <c r="F63" s="2">
        <f t="shared" si="14"/>
        <v>0</v>
      </c>
      <c r="G63" s="2" t="str">
        <f t="shared" si="14"/>
        <v>Units</v>
      </c>
      <c r="H63" s="2">
        <f t="shared" ca="1" si="14"/>
        <v>1070000</v>
      </c>
      <c r="I63" s="2">
        <f t="shared" si="14"/>
        <v>0</v>
      </c>
      <c r="J63" s="2">
        <f t="shared" si="14"/>
        <v>0</v>
      </c>
      <c r="K63" s="2">
        <f t="shared" ca="1" si="14"/>
        <v>0</v>
      </c>
      <c r="L63" s="2">
        <f t="shared" ca="1" si="14"/>
        <v>2000</v>
      </c>
      <c r="M63" s="2">
        <f t="shared" ca="1" si="14"/>
        <v>1000</v>
      </c>
      <c r="N63" s="2">
        <f t="shared" ca="1" si="14"/>
        <v>1000</v>
      </c>
      <c r="O63" s="2">
        <f t="shared" ca="1" si="14"/>
        <v>1000</v>
      </c>
      <c r="P63" s="2">
        <f t="shared" ca="1" si="14"/>
        <v>5000</v>
      </c>
      <c r="Q63" s="2">
        <f t="shared" ca="1" si="14"/>
        <v>3000</v>
      </c>
      <c r="R63" s="2">
        <f t="shared" ca="1" si="14"/>
        <v>2000</v>
      </c>
      <c r="S63" s="2">
        <f t="shared" ca="1" si="14"/>
        <v>0</v>
      </c>
      <c r="T63" s="2">
        <f t="shared" ca="1" si="14"/>
        <v>10000</v>
      </c>
      <c r="U63" s="2">
        <f t="shared" ca="1" si="14"/>
        <v>0</v>
      </c>
      <c r="V63" s="2">
        <f t="shared" ca="1" si="14"/>
        <v>10000</v>
      </c>
      <c r="W63" s="2">
        <f t="shared" ca="1" si="14"/>
        <v>8297.3154717964753</v>
      </c>
      <c r="X63" s="2">
        <f t="shared" ca="1" si="14"/>
        <v>1702.6845282035247</v>
      </c>
      <c r="Y63" s="2">
        <f t="shared" ca="1" si="14"/>
        <v>9855.6612883569433</v>
      </c>
      <c r="Z63" s="2">
        <f t="shared" ca="1" si="14"/>
        <v>144.33871164305674</v>
      </c>
      <c r="AA63" s="2">
        <f t="shared" ca="1" si="14"/>
        <v>0</v>
      </c>
      <c r="AB63" s="2">
        <f t="shared" ca="1" si="14"/>
        <v>0</v>
      </c>
      <c r="AC63" s="2">
        <f t="shared" ca="1" si="14"/>
        <v>0</v>
      </c>
      <c r="AD63" s="2">
        <f t="shared" ca="1" si="14"/>
        <v>0</v>
      </c>
      <c r="AE63" s="2">
        <f t="shared" ca="1" si="14"/>
        <v>5000</v>
      </c>
      <c r="AF63" s="2">
        <f t="shared" ca="1" si="14"/>
        <v>5000</v>
      </c>
      <c r="AG63" s="2">
        <f t="shared" ca="1" si="14"/>
        <v>5000</v>
      </c>
      <c r="AH63" s="2">
        <f t="shared" ca="1" si="14"/>
        <v>10000</v>
      </c>
      <c r="AI63" s="2">
        <f t="shared" ca="1" si="14"/>
        <v>5000</v>
      </c>
      <c r="AJ63" s="2">
        <f t="shared" ca="1" si="14"/>
        <v>10000</v>
      </c>
      <c r="AK63" s="2">
        <f t="shared" ca="1" si="14"/>
        <v>5000</v>
      </c>
      <c r="AL63" s="2">
        <f t="shared" ca="1" si="14"/>
        <v>10000</v>
      </c>
      <c r="AM63" s="2">
        <f t="shared" ca="1" si="14"/>
        <v>10000</v>
      </c>
      <c r="AN63" s="2">
        <f t="shared" ca="1" si="14"/>
        <v>10000</v>
      </c>
      <c r="AO63" s="2">
        <f t="shared" ca="1" si="14"/>
        <v>10000</v>
      </c>
      <c r="AP63" s="2">
        <f t="shared" ca="1" si="14"/>
        <v>15000</v>
      </c>
      <c r="AQ63" s="2">
        <f t="shared" ca="1" si="14"/>
        <v>10000</v>
      </c>
      <c r="AR63" s="2">
        <f t="shared" ca="1" si="14"/>
        <v>15000</v>
      </c>
      <c r="AS63" s="2">
        <f t="shared" ca="1" si="14"/>
        <v>15000</v>
      </c>
      <c r="AT63" s="2">
        <f t="shared" ca="1" si="14"/>
        <v>20000</v>
      </c>
      <c r="AU63" s="2">
        <f t="shared" ca="1" si="14"/>
        <v>15000</v>
      </c>
      <c r="AV63" s="2">
        <f t="shared" ca="1" si="14"/>
        <v>20000</v>
      </c>
      <c r="AW63" s="2">
        <f t="shared" ca="1" si="14"/>
        <v>25000</v>
      </c>
      <c r="AX63" s="2">
        <f t="shared" ca="1" si="14"/>
        <v>20000</v>
      </c>
      <c r="AY63" s="2">
        <f t="shared" ca="1" si="14"/>
        <v>25000</v>
      </c>
      <c r="AZ63" s="2">
        <f t="shared" ca="1" si="14"/>
        <v>25000</v>
      </c>
      <c r="BA63" s="2">
        <f t="shared" ca="1" si="14"/>
        <v>25000</v>
      </c>
      <c r="BB63" s="2">
        <f t="shared" ca="1" si="14"/>
        <v>25000</v>
      </c>
      <c r="BC63" s="2">
        <f t="shared" ca="1" si="14"/>
        <v>30000</v>
      </c>
      <c r="BD63" s="2">
        <f t="shared" ca="1" si="14"/>
        <v>30000.000000000004</v>
      </c>
      <c r="BE63" s="2">
        <f t="shared" ca="1" si="14"/>
        <v>35000</v>
      </c>
      <c r="BF63" s="2">
        <f t="shared" ca="1" si="14"/>
        <v>35000</v>
      </c>
      <c r="BG63" s="2">
        <f t="shared" ca="1" si="14"/>
        <v>35000</v>
      </c>
      <c r="BH63" s="2">
        <f t="shared" ca="1" si="14"/>
        <v>40000</v>
      </c>
      <c r="BI63" s="2">
        <f t="shared" ca="1" si="14"/>
        <v>40000</v>
      </c>
      <c r="BJ63" s="2">
        <f t="shared" ca="1" si="14"/>
        <v>45000</v>
      </c>
      <c r="BK63" s="2">
        <f t="shared" ca="1" si="14"/>
        <v>45000</v>
      </c>
      <c r="BL63" s="2">
        <f t="shared" ca="1" si="14"/>
        <v>49999.999999999993</v>
      </c>
      <c r="BM63" s="2">
        <f t="shared" ca="1" si="14"/>
        <v>50000.000000000007</v>
      </c>
      <c r="BN63" s="2">
        <f t="shared" ca="1" si="14"/>
        <v>54999.999999999985</v>
      </c>
      <c r="BO63" s="2">
        <f t="shared" ca="1" si="14"/>
        <v>60000</v>
      </c>
      <c r="BP63" s="2">
        <f t="shared" ca="1" si="14"/>
        <v>60000</v>
      </c>
      <c r="BQ63" s="2">
        <f t="shared" ca="1" si="14"/>
        <v>65000</v>
      </c>
    </row>
    <row r="64" spans="1:69">
      <c r="D64" s="94" t="s">
        <v>299</v>
      </c>
      <c r="E64" s="2" t="str">
        <f t="shared" ref="E64:BQ64" si="15" xml:space="preserve">  E$18</f>
        <v>Deployed units returned</v>
      </c>
      <c r="F64" s="2">
        <f t="shared" si="15"/>
        <v>0</v>
      </c>
      <c r="G64" s="2" t="str">
        <f t="shared" si="15"/>
        <v>Units</v>
      </c>
      <c r="H64" s="2">
        <f t="shared" ca="1" si="15"/>
        <v>339457.30617658654</v>
      </c>
      <c r="I64" s="2">
        <f t="shared" si="15"/>
        <v>0</v>
      </c>
      <c r="J64" s="2">
        <f t="shared" ca="1" si="15"/>
        <v>0</v>
      </c>
      <c r="K64" s="2">
        <f t="shared" ca="1" si="15"/>
        <v>0</v>
      </c>
      <c r="L64" s="2">
        <f t="shared" ca="1" si="15"/>
        <v>0</v>
      </c>
      <c r="M64" s="2">
        <f t="shared" ca="1" si="15"/>
        <v>0</v>
      </c>
      <c r="N64" s="2">
        <f t="shared" ca="1" si="15"/>
        <v>0</v>
      </c>
      <c r="O64" s="2">
        <f t="shared" ca="1" si="15"/>
        <v>0</v>
      </c>
      <c r="P64" s="2">
        <f t="shared" ca="1" si="15"/>
        <v>0</v>
      </c>
      <c r="Q64" s="2">
        <f t="shared" ca="1" si="15"/>
        <v>0</v>
      </c>
      <c r="R64" s="2">
        <f t="shared" ca="1" si="15"/>
        <v>0</v>
      </c>
      <c r="S64" s="2">
        <f t="shared" ca="1" si="15"/>
        <v>0</v>
      </c>
      <c r="T64" s="2">
        <f t="shared" ca="1" si="15"/>
        <v>0</v>
      </c>
      <c r="U64" s="2">
        <f t="shared" ca="1" si="15"/>
        <v>0</v>
      </c>
      <c r="V64" s="2">
        <f t="shared" ca="1" si="15"/>
        <v>0</v>
      </c>
      <c r="W64" s="2">
        <f t="shared" ca="1" si="15"/>
        <v>0</v>
      </c>
      <c r="X64" s="2">
        <f t="shared" ca="1" si="15"/>
        <v>0</v>
      </c>
      <c r="Y64" s="2">
        <f t="shared" ca="1" si="15"/>
        <v>0</v>
      </c>
      <c r="Z64" s="2">
        <f t="shared" ca="1" si="15"/>
        <v>0</v>
      </c>
      <c r="AA64" s="2">
        <f t="shared" ca="1" si="15"/>
        <v>0</v>
      </c>
      <c r="AB64" s="2">
        <f t="shared" ca="1" si="15"/>
        <v>0</v>
      </c>
      <c r="AC64" s="2">
        <f t="shared" ca="1" si="15"/>
        <v>0</v>
      </c>
      <c r="AD64" s="2">
        <f t="shared" ca="1" si="15"/>
        <v>0</v>
      </c>
      <c r="AE64" s="2">
        <f t="shared" ca="1" si="15"/>
        <v>0</v>
      </c>
      <c r="AF64" s="2">
        <f t="shared" ca="1" si="15"/>
        <v>0</v>
      </c>
      <c r="AG64" s="2">
        <f t="shared" ca="1" si="15"/>
        <v>0</v>
      </c>
      <c r="AH64" s="2">
        <f t="shared" ca="1" si="15"/>
        <v>1000</v>
      </c>
      <c r="AI64" s="2">
        <f t="shared" ca="1" si="15"/>
        <v>1000</v>
      </c>
      <c r="AJ64" s="2">
        <f t="shared" ca="1" si="15"/>
        <v>1000</v>
      </c>
      <c r="AK64" s="2">
        <f t="shared" ca="1" si="15"/>
        <v>1000</v>
      </c>
      <c r="AL64" s="2">
        <f t="shared" ca="1" si="15"/>
        <v>3000</v>
      </c>
      <c r="AM64" s="2">
        <f t="shared" ca="1" si="15"/>
        <v>3000</v>
      </c>
      <c r="AN64" s="2">
        <f t="shared" ca="1" si="15"/>
        <v>3000</v>
      </c>
      <c r="AO64" s="2">
        <f t="shared" ca="1" si="15"/>
        <v>5000</v>
      </c>
      <c r="AP64" s="2">
        <f t="shared" ca="1" si="15"/>
        <v>5000</v>
      </c>
      <c r="AQ64" s="2">
        <f t="shared" ca="1" si="15"/>
        <v>5000</v>
      </c>
      <c r="AR64" s="2">
        <f t="shared" ca="1" si="15"/>
        <v>5000</v>
      </c>
      <c r="AS64" s="2">
        <f t="shared" ca="1" si="15"/>
        <v>5000</v>
      </c>
      <c r="AT64" s="2">
        <f t="shared" ca="1" si="15"/>
        <v>5297.3154717964762</v>
      </c>
      <c r="AU64" s="2">
        <f t="shared" ca="1" si="15"/>
        <v>5612.3102415468647</v>
      </c>
      <c r="AV64" s="2">
        <f t="shared" ca="1" si="15"/>
        <v>5946.035575013605</v>
      </c>
      <c r="AW64" s="2">
        <f t="shared" ca="1" si="15"/>
        <v>6299.6052494743653</v>
      </c>
      <c r="AX64" s="2">
        <f t="shared" ca="1" si="15"/>
        <v>6674.1992708501712</v>
      </c>
      <c r="AY64" s="2">
        <f t="shared" ca="1" si="15"/>
        <v>7071.0678118654751</v>
      </c>
      <c r="AZ64" s="2">
        <f t="shared" ca="1" si="15"/>
        <v>7491.5353843834073</v>
      </c>
      <c r="BA64" s="2">
        <f t="shared" ca="1" si="15"/>
        <v>7937.0052598409975</v>
      </c>
      <c r="BB64" s="2">
        <f t="shared" ca="1" si="15"/>
        <v>8408.9641525371462</v>
      </c>
      <c r="BC64" s="2">
        <f t="shared" ca="1" si="15"/>
        <v>8908.9871814033941</v>
      </c>
      <c r="BD64" s="2">
        <f t="shared" ca="1" si="15"/>
        <v>9438.7431268169366</v>
      </c>
      <c r="BE64" s="2">
        <f t="shared" ca="1" si="15"/>
        <v>10000.000000000002</v>
      </c>
      <c r="BF64" s="2">
        <f t="shared" ca="1" si="15"/>
        <v>11494.630943592954</v>
      </c>
      <c r="BG64" s="2">
        <f t="shared" ca="1" si="15"/>
        <v>12124.620483093731</v>
      </c>
      <c r="BH64" s="2">
        <f t="shared" ca="1" si="15"/>
        <v>12792.071150027214</v>
      </c>
      <c r="BI64" s="2">
        <f t="shared" ca="1" si="15"/>
        <v>13499.210498948736</v>
      </c>
      <c r="BJ64" s="2">
        <f t="shared" ca="1" si="15"/>
        <v>16048.39854170035</v>
      </c>
      <c r="BK64" s="2">
        <f t="shared" ca="1" si="15"/>
        <v>16842.135623730959</v>
      </c>
      <c r="BL64" s="2">
        <f t="shared" ca="1" si="15"/>
        <v>17683.070768766825</v>
      </c>
      <c r="BM64" s="2">
        <f t="shared" ca="1" si="15"/>
        <v>20374.010519682004</v>
      </c>
      <c r="BN64" s="2">
        <f t="shared" ca="1" si="15"/>
        <v>21317.9283050743</v>
      </c>
      <c r="BO64" s="2">
        <f t="shared" ca="1" si="15"/>
        <v>22317.974362806795</v>
      </c>
      <c r="BP64" s="2">
        <f t="shared" ca="1" si="15"/>
        <v>23377.486253633881</v>
      </c>
      <c r="BQ64" s="2">
        <f t="shared" ca="1" si="15"/>
        <v>24500.000000000011</v>
      </c>
    </row>
    <row r="65" spans="1:69" s="86" customFormat="1">
      <c r="A65" s="63"/>
      <c r="B65" s="63"/>
      <c r="C65" s="89"/>
      <c r="D65" s="91"/>
      <c r="E65" s="33" t="s">
        <v>130</v>
      </c>
      <c r="F65" s="33"/>
      <c r="G65" s="33" t="s">
        <v>122</v>
      </c>
      <c r="H65" s="33"/>
      <c r="I65" s="11">
        <f t="shared" ref="I65:BQ65" si="16" xml:space="preserve">  IF( I59 = 0, $F58, I60 + I61 - I63 + I64 - I62 )</f>
        <v>0</v>
      </c>
      <c r="J65" s="11">
        <f t="shared" ca="1" si="16"/>
        <v>0</v>
      </c>
      <c r="K65" s="11">
        <f t="shared" ca="1" si="16"/>
        <v>5000</v>
      </c>
      <c r="L65" s="11">
        <f t="shared" ca="1" si="16"/>
        <v>3000</v>
      </c>
      <c r="M65" s="11">
        <f t="shared" ca="1" si="16"/>
        <v>2000</v>
      </c>
      <c r="N65" s="11">
        <f t="shared" ca="1" si="16"/>
        <v>1000</v>
      </c>
      <c r="O65" s="11">
        <f t="shared" ca="1" si="16"/>
        <v>10000</v>
      </c>
      <c r="P65" s="11">
        <f t="shared" ca="1" si="16"/>
        <v>5000</v>
      </c>
      <c r="Q65" s="11">
        <f t="shared" ca="1" si="16"/>
        <v>2000</v>
      </c>
      <c r="R65" s="11">
        <f t="shared" ca="1" si="16"/>
        <v>0</v>
      </c>
      <c r="S65" s="11">
        <f t="shared" ca="1" si="16"/>
        <v>10000</v>
      </c>
      <c r="T65" s="11">
        <f t="shared" ca="1" si="16"/>
        <v>0</v>
      </c>
      <c r="U65" s="11">
        <f t="shared" ca="1" si="16"/>
        <v>10000</v>
      </c>
      <c r="V65" s="11">
        <f t="shared" ca="1" si="16"/>
        <v>10000</v>
      </c>
      <c r="W65" s="11">
        <f t="shared" ca="1" si="16"/>
        <v>1702.6845282035247</v>
      </c>
      <c r="X65" s="11">
        <f t="shared" ca="1" si="16"/>
        <v>10000</v>
      </c>
      <c r="Y65" s="11">
        <f t="shared" ca="1" si="16"/>
        <v>144.33871164305674</v>
      </c>
      <c r="Z65" s="11">
        <f t="shared" ca="1" si="16"/>
        <v>0</v>
      </c>
      <c r="AA65" s="11">
        <f t="shared" ca="1" si="16"/>
        <v>0</v>
      </c>
      <c r="AB65" s="11">
        <f t="shared" ca="1" si="16"/>
        <v>0</v>
      </c>
      <c r="AC65" s="11">
        <f t="shared" ca="1" si="16"/>
        <v>0</v>
      </c>
      <c r="AD65" s="11">
        <f t="shared" ca="1" si="16"/>
        <v>5000</v>
      </c>
      <c r="AE65" s="11">
        <f t="shared" ca="1" si="16"/>
        <v>5000</v>
      </c>
      <c r="AF65" s="11">
        <f t="shared" ca="1" si="16"/>
        <v>5000</v>
      </c>
      <c r="AG65" s="11">
        <f t="shared" ca="1" si="16"/>
        <v>10000</v>
      </c>
      <c r="AH65" s="11">
        <f t="shared" ca="1" si="16"/>
        <v>5000</v>
      </c>
      <c r="AI65" s="11">
        <f t="shared" ca="1" si="16"/>
        <v>10000</v>
      </c>
      <c r="AJ65" s="11">
        <f t="shared" ca="1" si="16"/>
        <v>5000</v>
      </c>
      <c r="AK65" s="11">
        <f t="shared" ca="1" si="16"/>
        <v>10000</v>
      </c>
      <c r="AL65" s="11">
        <f t="shared" ca="1" si="16"/>
        <v>10000</v>
      </c>
      <c r="AM65" s="11">
        <f t="shared" ca="1" si="16"/>
        <v>10000</v>
      </c>
      <c r="AN65" s="11">
        <f t="shared" ca="1" si="16"/>
        <v>10000</v>
      </c>
      <c r="AO65" s="11">
        <f t="shared" ca="1" si="16"/>
        <v>15000</v>
      </c>
      <c r="AP65" s="11">
        <f t="shared" ca="1" si="16"/>
        <v>10000</v>
      </c>
      <c r="AQ65" s="11">
        <f t="shared" ca="1" si="16"/>
        <v>15000</v>
      </c>
      <c r="AR65" s="11">
        <f t="shared" ca="1" si="16"/>
        <v>15000</v>
      </c>
      <c r="AS65" s="11">
        <f t="shared" ca="1" si="16"/>
        <v>20000</v>
      </c>
      <c r="AT65" s="11">
        <f t="shared" ca="1" si="16"/>
        <v>15000</v>
      </c>
      <c r="AU65" s="11">
        <f t="shared" ca="1" si="16"/>
        <v>20000</v>
      </c>
      <c r="AV65" s="11">
        <f t="shared" ca="1" si="16"/>
        <v>25000</v>
      </c>
      <c r="AW65" s="11">
        <f t="shared" ca="1" si="16"/>
        <v>20000</v>
      </c>
      <c r="AX65" s="11">
        <f t="shared" ca="1" si="16"/>
        <v>25000</v>
      </c>
      <c r="AY65" s="11">
        <f t="shared" ca="1" si="16"/>
        <v>25000</v>
      </c>
      <c r="AZ65" s="11">
        <f t="shared" ca="1" si="16"/>
        <v>25000</v>
      </c>
      <c r="BA65" s="11">
        <f t="shared" ca="1" si="16"/>
        <v>25000</v>
      </c>
      <c r="BB65" s="11">
        <f t="shared" ca="1" si="16"/>
        <v>30000</v>
      </c>
      <c r="BC65" s="11">
        <f t="shared" ca="1" si="16"/>
        <v>30000.000000000004</v>
      </c>
      <c r="BD65" s="11">
        <f t="shared" ca="1" si="16"/>
        <v>35000</v>
      </c>
      <c r="BE65" s="11">
        <f t="shared" ca="1" si="16"/>
        <v>35000</v>
      </c>
      <c r="BF65" s="11">
        <f t="shared" ca="1" si="16"/>
        <v>35000</v>
      </c>
      <c r="BG65" s="11">
        <f t="shared" ca="1" si="16"/>
        <v>40000</v>
      </c>
      <c r="BH65" s="11">
        <f t="shared" ca="1" si="16"/>
        <v>40000</v>
      </c>
      <c r="BI65" s="11">
        <f t="shared" ca="1" si="16"/>
        <v>45000</v>
      </c>
      <c r="BJ65" s="11">
        <f t="shared" ca="1" si="16"/>
        <v>45000</v>
      </c>
      <c r="BK65" s="11">
        <f t="shared" ca="1" si="16"/>
        <v>49999.999999999993</v>
      </c>
      <c r="BL65" s="11">
        <f t="shared" ca="1" si="16"/>
        <v>50000.000000000007</v>
      </c>
      <c r="BM65" s="11">
        <f t="shared" ca="1" si="16"/>
        <v>54999.999999999985</v>
      </c>
      <c r="BN65" s="11">
        <f t="shared" ca="1" si="16"/>
        <v>60000</v>
      </c>
      <c r="BO65" s="11">
        <f t="shared" ca="1" si="16"/>
        <v>60000</v>
      </c>
      <c r="BP65" s="11">
        <f t="shared" ca="1" si="16"/>
        <v>65000</v>
      </c>
      <c r="BQ65" s="11">
        <f t="shared" ca="1" si="16"/>
        <v>70000</v>
      </c>
    </row>
    <row r="67" spans="1:69">
      <c r="B67" s="25" t="s">
        <v>222</v>
      </c>
    </row>
    <row r="68" spans="1:69" s="80" customFormat="1">
      <c r="A68" s="60"/>
      <c r="B68" s="60"/>
      <c r="C68" s="82"/>
      <c r="D68" s="85"/>
      <c r="E68" s="40" t="str">
        <f xml:space="preserve">  InpC!E$43</f>
        <v>Opening Units in use</v>
      </c>
      <c r="F68" s="40">
        <f xml:space="preserve">  InpC!F$43</f>
        <v>0</v>
      </c>
      <c r="G68" s="40" t="str">
        <f xml:space="preserve">  InpC!G$43</f>
        <v>Units</v>
      </c>
      <c r="M68" s="87"/>
    </row>
    <row r="69" spans="1:69">
      <c r="A69" s="18"/>
      <c r="B69" s="18"/>
      <c r="C69" s="28"/>
      <c r="D69" s="27"/>
      <c r="E69" s="9" t="str">
        <f xml:space="preserve">  Time!E$28</f>
        <v>Period number</v>
      </c>
      <c r="F69" s="9">
        <f xml:space="preserve">  Time!F$28</f>
        <v>0</v>
      </c>
      <c r="G69" s="9" t="str">
        <f xml:space="preserve">  Time!G$28</f>
        <v>Counter</v>
      </c>
      <c r="H69" s="9">
        <f xml:space="preserve">  Time!H$28</f>
        <v>0</v>
      </c>
      <c r="I69" s="9">
        <f xml:space="preserve">  Time!I$28</f>
        <v>0</v>
      </c>
      <c r="J69" s="9">
        <f xml:space="preserve">  Time!J$28</f>
        <v>1</v>
      </c>
      <c r="K69" s="9">
        <f xml:space="preserve">  Time!K$28</f>
        <v>2</v>
      </c>
      <c r="L69" s="9">
        <f xml:space="preserve">  Time!L$28</f>
        <v>3</v>
      </c>
      <c r="M69" s="9">
        <f xml:space="preserve">  Time!M$28</f>
        <v>4</v>
      </c>
      <c r="N69" s="9">
        <f xml:space="preserve">  Time!N$28</f>
        <v>5</v>
      </c>
      <c r="O69" s="9">
        <f xml:space="preserve">  Time!O$28</f>
        <v>6</v>
      </c>
      <c r="P69" s="9">
        <f xml:space="preserve">  Time!P$28</f>
        <v>7</v>
      </c>
      <c r="Q69" s="9">
        <f xml:space="preserve">  Time!Q$28</f>
        <v>8</v>
      </c>
      <c r="R69" s="9">
        <f xml:space="preserve">  Time!R$28</f>
        <v>9</v>
      </c>
      <c r="S69" s="9">
        <f xml:space="preserve">  Time!S$28</f>
        <v>10</v>
      </c>
      <c r="T69" s="9">
        <f xml:space="preserve">  Time!T$28</f>
        <v>11</v>
      </c>
      <c r="U69" s="9">
        <f xml:space="preserve">  Time!U$28</f>
        <v>12</v>
      </c>
      <c r="V69" s="9">
        <f xml:space="preserve">  Time!V$28</f>
        <v>13</v>
      </c>
      <c r="W69" s="9">
        <f xml:space="preserve">  Time!W$28</f>
        <v>14</v>
      </c>
      <c r="X69" s="9">
        <f xml:space="preserve">  Time!X$28</f>
        <v>15</v>
      </c>
      <c r="Y69" s="9">
        <f xml:space="preserve">  Time!Y$28</f>
        <v>16</v>
      </c>
      <c r="Z69" s="9">
        <f xml:space="preserve">  Time!Z$28</f>
        <v>17</v>
      </c>
      <c r="AA69" s="9">
        <f xml:space="preserve">  Time!AA$28</f>
        <v>18</v>
      </c>
      <c r="AB69" s="9">
        <f xml:space="preserve">  Time!AB$28</f>
        <v>19</v>
      </c>
      <c r="AC69" s="9">
        <f xml:space="preserve">  Time!AC$28</f>
        <v>20</v>
      </c>
      <c r="AD69" s="9">
        <f xml:space="preserve">  Time!AD$28</f>
        <v>21</v>
      </c>
      <c r="AE69" s="9">
        <f xml:space="preserve">  Time!AE$28</f>
        <v>22</v>
      </c>
      <c r="AF69" s="9">
        <f xml:space="preserve">  Time!AF$28</f>
        <v>23</v>
      </c>
      <c r="AG69" s="9">
        <f xml:space="preserve">  Time!AG$28</f>
        <v>24</v>
      </c>
      <c r="AH69" s="9">
        <f xml:space="preserve">  Time!AH$28</f>
        <v>25</v>
      </c>
      <c r="AI69" s="9">
        <f xml:space="preserve">  Time!AI$28</f>
        <v>26</v>
      </c>
      <c r="AJ69" s="9">
        <f xml:space="preserve">  Time!AJ$28</f>
        <v>27</v>
      </c>
      <c r="AK69" s="9">
        <f xml:space="preserve">  Time!AK$28</f>
        <v>28</v>
      </c>
      <c r="AL69" s="9">
        <f xml:space="preserve">  Time!AL$28</f>
        <v>29</v>
      </c>
      <c r="AM69" s="9">
        <f xml:space="preserve">  Time!AM$28</f>
        <v>30</v>
      </c>
      <c r="AN69" s="9">
        <f xml:space="preserve">  Time!AN$28</f>
        <v>31</v>
      </c>
      <c r="AO69" s="9">
        <f xml:space="preserve">  Time!AO$28</f>
        <v>32</v>
      </c>
      <c r="AP69" s="9">
        <f xml:space="preserve">  Time!AP$28</f>
        <v>33</v>
      </c>
      <c r="AQ69" s="9">
        <f xml:space="preserve">  Time!AQ$28</f>
        <v>34</v>
      </c>
      <c r="AR69" s="9">
        <f xml:space="preserve">  Time!AR$28</f>
        <v>35</v>
      </c>
      <c r="AS69" s="9">
        <f xml:space="preserve">  Time!AS$28</f>
        <v>36</v>
      </c>
      <c r="AT69" s="9">
        <f xml:space="preserve">  Time!AT$28</f>
        <v>37</v>
      </c>
      <c r="AU69" s="9">
        <f xml:space="preserve">  Time!AU$28</f>
        <v>38</v>
      </c>
      <c r="AV69" s="9">
        <f xml:space="preserve">  Time!AV$28</f>
        <v>39</v>
      </c>
      <c r="AW69" s="9">
        <f xml:space="preserve">  Time!AW$28</f>
        <v>40</v>
      </c>
      <c r="AX69" s="9">
        <f xml:space="preserve">  Time!AX$28</f>
        <v>41</v>
      </c>
      <c r="AY69" s="9">
        <f xml:space="preserve">  Time!AY$28</f>
        <v>42</v>
      </c>
      <c r="AZ69" s="9">
        <f xml:space="preserve">  Time!AZ$28</f>
        <v>43</v>
      </c>
      <c r="BA69" s="9">
        <f xml:space="preserve">  Time!BA$28</f>
        <v>44</v>
      </c>
      <c r="BB69" s="9">
        <f xml:space="preserve">  Time!BB$28</f>
        <v>45</v>
      </c>
      <c r="BC69" s="9">
        <f xml:space="preserve">  Time!BC$28</f>
        <v>46</v>
      </c>
      <c r="BD69" s="9">
        <f xml:space="preserve">  Time!BD$28</f>
        <v>47</v>
      </c>
      <c r="BE69" s="9">
        <f xml:space="preserve">  Time!BE$28</f>
        <v>48</v>
      </c>
      <c r="BF69" s="9">
        <f xml:space="preserve">  Time!BF$28</f>
        <v>49</v>
      </c>
      <c r="BG69" s="9">
        <f xml:space="preserve">  Time!BG$28</f>
        <v>50</v>
      </c>
      <c r="BH69" s="9">
        <f xml:space="preserve">  Time!BH$28</f>
        <v>51</v>
      </c>
      <c r="BI69" s="9">
        <f xml:space="preserve">  Time!BI$28</f>
        <v>52</v>
      </c>
      <c r="BJ69" s="9">
        <f xml:space="preserve">  Time!BJ$28</f>
        <v>53</v>
      </c>
      <c r="BK69" s="9">
        <f xml:space="preserve">  Time!BK$28</f>
        <v>54</v>
      </c>
      <c r="BL69" s="9">
        <f xml:space="preserve">  Time!BL$28</f>
        <v>55</v>
      </c>
      <c r="BM69" s="9">
        <f xml:space="preserve">  Time!BM$28</f>
        <v>56</v>
      </c>
      <c r="BN69" s="9">
        <f xml:space="preserve">  Time!BN$28</f>
        <v>57</v>
      </c>
      <c r="BO69" s="9">
        <f xml:space="preserve">  Time!BO$28</f>
        <v>58</v>
      </c>
      <c r="BP69" s="9">
        <f xml:space="preserve">  Time!BP$28</f>
        <v>59</v>
      </c>
      <c r="BQ69" s="9">
        <f xml:space="preserve">  Time!BQ$28</f>
        <v>60</v>
      </c>
    </row>
    <row r="70" spans="1:69">
      <c r="E70" s="47" t="s">
        <v>348</v>
      </c>
      <c r="G70" s="47" t="s">
        <v>122</v>
      </c>
      <c r="J70" s="2">
        <f t="shared" ref="J70:BQ70" si="17" xml:space="preserve">  I73</f>
        <v>0</v>
      </c>
      <c r="K70" s="2">
        <f t="shared" ca="1" si="17"/>
        <v>0</v>
      </c>
      <c r="L70" s="2">
        <f t="shared" ca="1" si="17"/>
        <v>0</v>
      </c>
      <c r="M70" s="2">
        <f t="shared" ca="1" si="17"/>
        <v>2000</v>
      </c>
      <c r="N70" s="2">
        <f t="shared" ca="1" si="17"/>
        <v>3000</v>
      </c>
      <c r="O70" s="2">
        <f t="shared" ca="1" si="17"/>
        <v>4000</v>
      </c>
      <c r="P70" s="2">
        <f t="shared" ca="1" si="17"/>
        <v>5000</v>
      </c>
      <c r="Q70" s="2">
        <f t="shared" ca="1" si="17"/>
        <v>10000</v>
      </c>
      <c r="R70" s="2">
        <f t="shared" ca="1" si="17"/>
        <v>13000</v>
      </c>
      <c r="S70" s="2">
        <f t="shared" ca="1" si="17"/>
        <v>15000</v>
      </c>
      <c r="T70" s="2">
        <f t="shared" ca="1" si="17"/>
        <v>15000</v>
      </c>
      <c r="U70" s="2">
        <f t="shared" ca="1" si="17"/>
        <v>25000</v>
      </c>
      <c r="V70" s="2">
        <f t="shared" ca="1" si="17"/>
        <v>25000</v>
      </c>
      <c r="W70" s="2">
        <f t="shared" ca="1" si="17"/>
        <v>35000</v>
      </c>
      <c r="X70" s="2">
        <f t="shared" ca="1" si="17"/>
        <v>43297.315471796479</v>
      </c>
      <c r="Y70" s="2">
        <f t="shared" ca="1" si="17"/>
        <v>45000</v>
      </c>
      <c r="Z70" s="2">
        <f t="shared" ca="1" si="17"/>
        <v>54855.661288356947</v>
      </c>
      <c r="AA70" s="2">
        <f t="shared" ca="1" si="17"/>
        <v>55000</v>
      </c>
      <c r="AB70" s="2">
        <f t="shared" ca="1" si="17"/>
        <v>55000</v>
      </c>
      <c r="AC70" s="2">
        <f t="shared" ca="1" si="17"/>
        <v>55000</v>
      </c>
      <c r="AD70" s="2">
        <f t="shared" ca="1" si="17"/>
        <v>55000</v>
      </c>
      <c r="AE70" s="2">
        <f t="shared" ca="1" si="17"/>
        <v>55000</v>
      </c>
      <c r="AF70" s="2">
        <f t="shared" ca="1" si="17"/>
        <v>60000</v>
      </c>
      <c r="AG70" s="2">
        <f t="shared" ca="1" si="17"/>
        <v>65000</v>
      </c>
      <c r="AH70" s="2">
        <f t="shared" ca="1" si="17"/>
        <v>70000</v>
      </c>
      <c r="AI70" s="2">
        <f t="shared" ca="1" si="17"/>
        <v>79000</v>
      </c>
      <c r="AJ70" s="2">
        <f t="shared" ca="1" si="17"/>
        <v>83000</v>
      </c>
      <c r="AK70" s="2">
        <f t="shared" ca="1" si="17"/>
        <v>92000</v>
      </c>
      <c r="AL70" s="2">
        <f t="shared" ca="1" si="17"/>
        <v>96000</v>
      </c>
      <c r="AM70" s="2">
        <f t="shared" ca="1" si="17"/>
        <v>103000</v>
      </c>
      <c r="AN70" s="2">
        <f t="shared" ca="1" si="17"/>
        <v>110000</v>
      </c>
      <c r="AO70" s="2">
        <f t="shared" ca="1" si="17"/>
        <v>117000</v>
      </c>
      <c r="AP70" s="2">
        <f t="shared" ca="1" si="17"/>
        <v>122000</v>
      </c>
      <c r="AQ70" s="2">
        <f t="shared" ca="1" si="17"/>
        <v>132000</v>
      </c>
      <c r="AR70" s="2">
        <f t="shared" ca="1" si="17"/>
        <v>137000</v>
      </c>
      <c r="AS70" s="2">
        <f t="shared" ca="1" si="17"/>
        <v>147000</v>
      </c>
      <c r="AT70" s="2">
        <f t="shared" ca="1" si="17"/>
        <v>157000</v>
      </c>
      <c r="AU70" s="2">
        <f t="shared" ca="1" si="17"/>
        <v>171702.68452820354</v>
      </c>
      <c r="AV70" s="2">
        <f t="shared" ca="1" si="17"/>
        <v>181090.37428665668</v>
      </c>
      <c r="AW70" s="2">
        <f t="shared" ca="1" si="17"/>
        <v>195144.33871164307</v>
      </c>
      <c r="AX70" s="2">
        <f t="shared" ca="1" si="17"/>
        <v>213844.73346216869</v>
      </c>
      <c r="AY70" s="2">
        <f t="shared" ca="1" si="17"/>
        <v>227170.53419131853</v>
      </c>
      <c r="AZ70" s="2">
        <f t="shared" ca="1" si="17"/>
        <v>245099.46637945305</v>
      </c>
      <c r="BA70" s="2">
        <f t="shared" ca="1" si="17"/>
        <v>262607.93099506968</v>
      </c>
      <c r="BB70" s="2">
        <f t="shared" ca="1" si="17"/>
        <v>279670.92573522869</v>
      </c>
      <c r="BC70" s="2">
        <f t="shared" ca="1" si="17"/>
        <v>296261.96158269153</v>
      </c>
      <c r="BD70" s="2">
        <f t="shared" ca="1" si="17"/>
        <v>317352.97440128814</v>
      </c>
      <c r="BE70" s="2">
        <f t="shared" ca="1" si="17"/>
        <v>337914.23127447121</v>
      </c>
      <c r="BF70" s="2">
        <f t="shared" ca="1" si="17"/>
        <v>362914.23127447121</v>
      </c>
      <c r="BG70" s="2">
        <f t="shared" ca="1" si="17"/>
        <v>386419.60033087828</v>
      </c>
      <c r="BH70" s="2">
        <f t="shared" ca="1" si="17"/>
        <v>409294.97984778456</v>
      </c>
      <c r="BI70" s="2">
        <f t="shared" ca="1" si="17"/>
        <v>436502.90869775735</v>
      </c>
      <c r="BJ70" s="2">
        <f t="shared" ca="1" si="17"/>
        <v>463003.69819880859</v>
      </c>
      <c r="BK70" s="2">
        <f t="shared" ca="1" si="17"/>
        <v>491955.29965710826</v>
      </c>
      <c r="BL70" s="2">
        <f t="shared" ca="1" si="17"/>
        <v>520113.16403337731</v>
      </c>
      <c r="BM70" s="2">
        <f t="shared" ca="1" si="17"/>
        <v>552430.09326461051</v>
      </c>
      <c r="BN70" s="2">
        <f t="shared" ca="1" si="17"/>
        <v>582056.08274492854</v>
      </c>
      <c r="BO70" s="2">
        <f t="shared" ca="1" si="17"/>
        <v>615738.1544398542</v>
      </c>
      <c r="BP70" s="2">
        <f t="shared" ca="1" si="17"/>
        <v>653420.18007704744</v>
      </c>
      <c r="BQ70" s="2">
        <f t="shared" ca="1" si="17"/>
        <v>690042.69382341357</v>
      </c>
    </row>
    <row r="71" spans="1:69">
      <c r="D71" s="94" t="s">
        <v>220</v>
      </c>
      <c r="E71" s="2" t="str">
        <f t="shared" ref="E71:BQ71" si="18" xml:space="preserve">  E$54</f>
        <v>Units deployed</v>
      </c>
      <c r="F71" s="2">
        <f t="shared" si="18"/>
        <v>0</v>
      </c>
      <c r="G71" s="2" t="str">
        <f t="shared" si="18"/>
        <v>Units</v>
      </c>
      <c r="H71" s="2">
        <f t="shared" ca="1" si="18"/>
        <v>1070000</v>
      </c>
      <c r="I71" s="2">
        <f t="shared" si="18"/>
        <v>0</v>
      </c>
      <c r="J71" s="2">
        <f t="shared" si="18"/>
        <v>0</v>
      </c>
      <c r="K71" s="2">
        <f t="shared" ca="1" si="18"/>
        <v>0</v>
      </c>
      <c r="L71" s="2">
        <f t="shared" ca="1" si="18"/>
        <v>2000</v>
      </c>
      <c r="M71" s="2">
        <f t="shared" ca="1" si="18"/>
        <v>1000</v>
      </c>
      <c r="N71" s="2">
        <f t="shared" ca="1" si="18"/>
        <v>1000</v>
      </c>
      <c r="O71" s="2">
        <f t="shared" ca="1" si="18"/>
        <v>1000</v>
      </c>
      <c r="P71" s="2">
        <f t="shared" ca="1" si="18"/>
        <v>5000</v>
      </c>
      <c r="Q71" s="2">
        <f t="shared" ca="1" si="18"/>
        <v>3000</v>
      </c>
      <c r="R71" s="2">
        <f t="shared" ca="1" si="18"/>
        <v>2000</v>
      </c>
      <c r="S71" s="2">
        <f t="shared" ca="1" si="18"/>
        <v>0</v>
      </c>
      <c r="T71" s="2">
        <f t="shared" ca="1" si="18"/>
        <v>10000</v>
      </c>
      <c r="U71" s="2">
        <f t="shared" ca="1" si="18"/>
        <v>0</v>
      </c>
      <c r="V71" s="2">
        <f t="shared" ca="1" si="18"/>
        <v>10000</v>
      </c>
      <c r="W71" s="2">
        <f t="shared" ca="1" si="18"/>
        <v>8297.3154717964753</v>
      </c>
      <c r="X71" s="2">
        <f t="shared" ca="1" si="18"/>
        <v>1702.6845282035247</v>
      </c>
      <c r="Y71" s="2">
        <f t="shared" ca="1" si="18"/>
        <v>9855.6612883569433</v>
      </c>
      <c r="Z71" s="2">
        <f t="shared" ca="1" si="18"/>
        <v>144.33871164305674</v>
      </c>
      <c r="AA71" s="2">
        <f t="shared" ca="1" si="18"/>
        <v>0</v>
      </c>
      <c r="AB71" s="2">
        <f t="shared" ca="1" si="18"/>
        <v>0</v>
      </c>
      <c r="AC71" s="2">
        <f t="shared" ca="1" si="18"/>
        <v>0</v>
      </c>
      <c r="AD71" s="2">
        <f t="shared" ca="1" si="18"/>
        <v>0</v>
      </c>
      <c r="AE71" s="2">
        <f t="shared" ca="1" si="18"/>
        <v>5000</v>
      </c>
      <c r="AF71" s="2">
        <f t="shared" ca="1" si="18"/>
        <v>5000</v>
      </c>
      <c r="AG71" s="2">
        <f t="shared" ca="1" si="18"/>
        <v>5000</v>
      </c>
      <c r="AH71" s="2">
        <f t="shared" ca="1" si="18"/>
        <v>10000</v>
      </c>
      <c r="AI71" s="2">
        <f t="shared" ca="1" si="18"/>
        <v>5000</v>
      </c>
      <c r="AJ71" s="2">
        <f t="shared" ca="1" si="18"/>
        <v>10000</v>
      </c>
      <c r="AK71" s="2">
        <f t="shared" ca="1" si="18"/>
        <v>5000</v>
      </c>
      <c r="AL71" s="2">
        <f t="shared" ca="1" si="18"/>
        <v>10000</v>
      </c>
      <c r="AM71" s="2">
        <f t="shared" ca="1" si="18"/>
        <v>10000</v>
      </c>
      <c r="AN71" s="2">
        <f t="shared" ca="1" si="18"/>
        <v>10000</v>
      </c>
      <c r="AO71" s="2">
        <f t="shared" ca="1" si="18"/>
        <v>10000</v>
      </c>
      <c r="AP71" s="2">
        <f t="shared" ca="1" si="18"/>
        <v>15000</v>
      </c>
      <c r="AQ71" s="2">
        <f t="shared" ca="1" si="18"/>
        <v>10000</v>
      </c>
      <c r="AR71" s="2">
        <f t="shared" ca="1" si="18"/>
        <v>15000</v>
      </c>
      <c r="AS71" s="2">
        <f t="shared" ca="1" si="18"/>
        <v>15000</v>
      </c>
      <c r="AT71" s="2">
        <f t="shared" ca="1" si="18"/>
        <v>20000</v>
      </c>
      <c r="AU71" s="2">
        <f t="shared" ca="1" si="18"/>
        <v>15000</v>
      </c>
      <c r="AV71" s="2">
        <f t="shared" ca="1" si="18"/>
        <v>20000</v>
      </c>
      <c r="AW71" s="2">
        <f t="shared" ca="1" si="18"/>
        <v>25000</v>
      </c>
      <c r="AX71" s="2">
        <f t="shared" ca="1" si="18"/>
        <v>20000</v>
      </c>
      <c r="AY71" s="2">
        <f t="shared" ca="1" si="18"/>
        <v>25000</v>
      </c>
      <c r="AZ71" s="2">
        <f t="shared" ca="1" si="18"/>
        <v>25000</v>
      </c>
      <c r="BA71" s="2">
        <f t="shared" ca="1" si="18"/>
        <v>25000</v>
      </c>
      <c r="BB71" s="2">
        <f t="shared" ca="1" si="18"/>
        <v>25000</v>
      </c>
      <c r="BC71" s="2">
        <f t="shared" ca="1" si="18"/>
        <v>30000</v>
      </c>
      <c r="BD71" s="2">
        <f t="shared" ca="1" si="18"/>
        <v>30000.000000000004</v>
      </c>
      <c r="BE71" s="2">
        <f t="shared" ca="1" si="18"/>
        <v>35000</v>
      </c>
      <c r="BF71" s="2">
        <f t="shared" ca="1" si="18"/>
        <v>35000</v>
      </c>
      <c r="BG71" s="2">
        <f t="shared" ca="1" si="18"/>
        <v>35000</v>
      </c>
      <c r="BH71" s="2">
        <f t="shared" ca="1" si="18"/>
        <v>40000</v>
      </c>
      <c r="BI71" s="2">
        <f t="shared" ca="1" si="18"/>
        <v>40000</v>
      </c>
      <c r="BJ71" s="2">
        <f t="shared" ca="1" si="18"/>
        <v>45000</v>
      </c>
      <c r="BK71" s="2">
        <f t="shared" ca="1" si="18"/>
        <v>45000</v>
      </c>
      <c r="BL71" s="2">
        <f t="shared" ca="1" si="18"/>
        <v>49999.999999999993</v>
      </c>
      <c r="BM71" s="2">
        <f t="shared" ca="1" si="18"/>
        <v>50000.000000000007</v>
      </c>
      <c r="BN71" s="2">
        <f t="shared" ca="1" si="18"/>
        <v>54999.999999999985</v>
      </c>
      <c r="BO71" s="2">
        <f t="shared" ca="1" si="18"/>
        <v>60000</v>
      </c>
      <c r="BP71" s="2">
        <f t="shared" ca="1" si="18"/>
        <v>60000</v>
      </c>
      <c r="BQ71" s="2">
        <f t="shared" ca="1" si="18"/>
        <v>65000</v>
      </c>
    </row>
    <row r="72" spans="1:69">
      <c r="D72" s="94" t="s">
        <v>299</v>
      </c>
      <c r="E72" s="2" t="str">
        <f t="shared" ref="E72:BQ72" si="19" xml:space="preserve">  E$18</f>
        <v>Deployed units returned</v>
      </c>
      <c r="F72" s="2">
        <f t="shared" si="19"/>
        <v>0</v>
      </c>
      <c r="G72" s="2" t="str">
        <f t="shared" si="19"/>
        <v>Units</v>
      </c>
      <c r="H72" s="2">
        <f t="shared" ca="1" si="19"/>
        <v>339457.30617658654</v>
      </c>
      <c r="I72" s="2">
        <f t="shared" si="19"/>
        <v>0</v>
      </c>
      <c r="J72" s="2">
        <f t="shared" ca="1" si="19"/>
        <v>0</v>
      </c>
      <c r="K72" s="2">
        <f t="shared" ca="1" si="19"/>
        <v>0</v>
      </c>
      <c r="L72" s="2">
        <f t="shared" ca="1" si="19"/>
        <v>0</v>
      </c>
      <c r="M72" s="2">
        <f t="shared" ca="1" si="19"/>
        <v>0</v>
      </c>
      <c r="N72" s="2">
        <f t="shared" ca="1" si="19"/>
        <v>0</v>
      </c>
      <c r="O72" s="2">
        <f t="shared" ca="1" si="19"/>
        <v>0</v>
      </c>
      <c r="P72" s="2">
        <f t="shared" ca="1" si="19"/>
        <v>0</v>
      </c>
      <c r="Q72" s="2">
        <f t="shared" ca="1" si="19"/>
        <v>0</v>
      </c>
      <c r="R72" s="2">
        <f t="shared" ca="1" si="19"/>
        <v>0</v>
      </c>
      <c r="S72" s="2">
        <f t="shared" ca="1" si="19"/>
        <v>0</v>
      </c>
      <c r="T72" s="2">
        <f t="shared" ca="1" si="19"/>
        <v>0</v>
      </c>
      <c r="U72" s="2">
        <f t="shared" ca="1" si="19"/>
        <v>0</v>
      </c>
      <c r="V72" s="2">
        <f t="shared" ca="1" si="19"/>
        <v>0</v>
      </c>
      <c r="W72" s="2">
        <f t="shared" ca="1" si="19"/>
        <v>0</v>
      </c>
      <c r="X72" s="2">
        <f t="shared" ca="1" si="19"/>
        <v>0</v>
      </c>
      <c r="Y72" s="2">
        <f t="shared" ca="1" si="19"/>
        <v>0</v>
      </c>
      <c r="Z72" s="2">
        <f t="shared" ca="1" si="19"/>
        <v>0</v>
      </c>
      <c r="AA72" s="2">
        <f t="shared" ca="1" si="19"/>
        <v>0</v>
      </c>
      <c r="AB72" s="2">
        <f t="shared" ca="1" si="19"/>
        <v>0</v>
      </c>
      <c r="AC72" s="2">
        <f t="shared" ca="1" si="19"/>
        <v>0</v>
      </c>
      <c r="AD72" s="2">
        <f t="shared" ca="1" si="19"/>
        <v>0</v>
      </c>
      <c r="AE72" s="2">
        <f t="shared" ca="1" si="19"/>
        <v>0</v>
      </c>
      <c r="AF72" s="2">
        <f t="shared" ca="1" si="19"/>
        <v>0</v>
      </c>
      <c r="AG72" s="2">
        <f t="shared" ca="1" si="19"/>
        <v>0</v>
      </c>
      <c r="AH72" s="2">
        <f t="shared" ca="1" si="19"/>
        <v>1000</v>
      </c>
      <c r="AI72" s="2">
        <f t="shared" ca="1" si="19"/>
        <v>1000</v>
      </c>
      <c r="AJ72" s="2">
        <f t="shared" ca="1" si="19"/>
        <v>1000</v>
      </c>
      <c r="AK72" s="2">
        <f t="shared" ca="1" si="19"/>
        <v>1000</v>
      </c>
      <c r="AL72" s="2">
        <f t="shared" ca="1" si="19"/>
        <v>3000</v>
      </c>
      <c r="AM72" s="2">
        <f t="shared" ca="1" si="19"/>
        <v>3000</v>
      </c>
      <c r="AN72" s="2">
        <f t="shared" ca="1" si="19"/>
        <v>3000</v>
      </c>
      <c r="AO72" s="2">
        <f t="shared" ca="1" si="19"/>
        <v>5000</v>
      </c>
      <c r="AP72" s="2">
        <f t="shared" ca="1" si="19"/>
        <v>5000</v>
      </c>
      <c r="AQ72" s="2">
        <f t="shared" ca="1" si="19"/>
        <v>5000</v>
      </c>
      <c r="AR72" s="2">
        <f t="shared" ca="1" si="19"/>
        <v>5000</v>
      </c>
      <c r="AS72" s="2">
        <f t="shared" ca="1" si="19"/>
        <v>5000</v>
      </c>
      <c r="AT72" s="2">
        <f t="shared" ca="1" si="19"/>
        <v>5297.3154717964762</v>
      </c>
      <c r="AU72" s="2">
        <f t="shared" ca="1" si="19"/>
        <v>5612.3102415468647</v>
      </c>
      <c r="AV72" s="2">
        <f t="shared" ca="1" si="19"/>
        <v>5946.035575013605</v>
      </c>
      <c r="AW72" s="2">
        <f t="shared" ca="1" si="19"/>
        <v>6299.6052494743653</v>
      </c>
      <c r="AX72" s="2">
        <f t="shared" ca="1" si="19"/>
        <v>6674.1992708501712</v>
      </c>
      <c r="AY72" s="2">
        <f t="shared" ca="1" si="19"/>
        <v>7071.0678118654751</v>
      </c>
      <c r="AZ72" s="2">
        <f t="shared" ca="1" si="19"/>
        <v>7491.5353843834073</v>
      </c>
      <c r="BA72" s="2">
        <f t="shared" ca="1" si="19"/>
        <v>7937.0052598409975</v>
      </c>
      <c r="BB72" s="2">
        <f t="shared" ca="1" si="19"/>
        <v>8408.9641525371462</v>
      </c>
      <c r="BC72" s="2">
        <f t="shared" ca="1" si="19"/>
        <v>8908.9871814033941</v>
      </c>
      <c r="BD72" s="2">
        <f t="shared" ca="1" si="19"/>
        <v>9438.7431268169366</v>
      </c>
      <c r="BE72" s="2">
        <f t="shared" ca="1" si="19"/>
        <v>10000.000000000002</v>
      </c>
      <c r="BF72" s="2">
        <f t="shared" ca="1" si="19"/>
        <v>11494.630943592954</v>
      </c>
      <c r="BG72" s="2">
        <f t="shared" ca="1" si="19"/>
        <v>12124.620483093731</v>
      </c>
      <c r="BH72" s="2">
        <f t="shared" ca="1" si="19"/>
        <v>12792.071150027214</v>
      </c>
      <c r="BI72" s="2">
        <f t="shared" ca="1" si="19"/>
        <v>13499.210498948736</v>
      </c>
      <c r="BJ72" s="2">
        <f t="shared" ca="1" si="19"/>
        <v>16048.39854170035</v>
      </c>
      <c r="BK72" s="2">
        <f t="shared" ca="1" si="19"/>
        <v>16842.135623730959</v>
      </c>
      <c r="BL72" s="2">
        <f t="shared" ca="1" si="19"/>
        <v>17683.070768766825</v>
      </c>
      <c r="BM72" s="2">
        <f t="shared" ca="1" si="19"/>
        <v>20374.010519682004</v>
      </c>
      <c r="BN72" s="2">
        <f t="shared" ca="1" si="19"/>
        <v>21317.9283050743</v>
      </c>
      <c r="BO72" s="2">
        <f t="shared" ca="1" si="19"/>
        <v>22317.974362806795</v>
      </c>
      <c r="BP72" s="2">
        <f t="shared" ca="1" si="19"/>
        <v>23377.486253633881</v>
      </c>
      <c r="BQ72" s="2">
        <f t="shared" ca="1" si="19"/>
        <v>24500.000000000011</v>
      </c>
    </row>
    <row r="73" spans="1:69" s="86" customFormat="1">
      <c r="A73" s="63"/>
      <c r="B73" s="63"/>
      <c r="C73" s="89"/>
      <c r="D73" s="91"/>
      <c r="E73" s="33" t="s">
        <v>222</v>
      </c>
      <c r="F73" s="33"/>
      <c r="G73" s="33" t="s">
        <v>122</v>
      </c>
      <c r="H73" s="33"/>
      <c r="I73" s="11">
        <f t="shared" ref="I73:BQ73" si="20" xml:space="preserve">  IF( I69 = 0, $F68, I70 + I71 - I72 )</f>
        <v>0</v>
      </c>
      <c r="J73" s="11">
        <f t="shared" ca="1" si="20"/>
        <v>0</v>
      </c>
      <c r="K73" s="11">
        <f t="shared" ca="1" si="20"/>
        <v>0</v>
      </c>
      <c r="L73" s="11">
        <f t="shared" ca="1" si="20"/>
        <v>2000</v>
      </c>
      <c r="M73" s="11">
        <f t="shared" ca="1" si="20"/>
        <v>3000</v>
      </c>
      <c r="N73" s="11">
        <f t="shared" ca="1" si="20"/>
        <v>4000</v>
      </c>
      <c r="O73" s="11">
        <f t="shared" ca="1" si="20"/>
        <v>5000</v>
      </c>
      <c r="P73" s="11">
        <f t="shared" ca="1" si="20"/>
        <v>10000</v>
      </c>
      <c r="Q73" s="11">
        <f t="shared" ca="1" si="20"/>
        <v>13000</v>
      </c>
      <c r="R73" s="11">
        <f t="shared" ca="1" si="20"/>
        <v>15000</v>
      </c>
      <c r="S73" s="11">
        <f t="shared" ca="1" si="20"/>
        <v>15000</v>
      </c>
      <c r="T73" s="11">
        <f t="shared" ca="1" si="20"/>
        <v>25000</v>
      </c>
      <c r="U73" s="11">
        <f t="shared" ca="1" si="20"/>
        <v>25000</v>
      </c>
      <c r="V73" s="11">
        <f t="shared" ca="1" si="20"/>
        <v>35000</v>
      </c>
      <c r="W73" s="11">
        <f t="shared" ca="1" si="20"/>
        <v>43297.315471796479</v>
      </c>
      <c r="X73" s="11">
        <f t="shared" ca="1" si="20"/>
        <v>45000</v>
      </c>
      <c r="Y73" s="11">
        <f t="shared" ca="1" si="20"/>
        <v>54855.661288356947</v>
      </c>
      <c r="Z73" s="11">
        <f t="shared" ca="1" si="20"/>
        <v>55000</v>
      </c>
      <c r="AA73" s="11">
        <f t="shared" ca="1" si="20"/>
        <v>55000</v>
      </c>
      <c r="AB73" s="11">
        <f t="shared" ca="1" si="20"/>
        <v>55000</v>
      </c>
      <c r="AC73" s="11">
        <f t="shared" ca="1" si="20"/>
        <v>55000</v>
      </c>
      <c r="AD73" s="11">
        <f t="shared" ca="1" si="20"/>
        <v>55000</v>
      </c>
      <c r="AE73" s="11">
        <f t="shared" ca="1" si="20"/>
        <v>60000</v>
      </c>
      <c r="AF73" s="11">
        <f t="shared" ca="1" si="20"/>
        <v>65000</v>
      </c>
      <c r="AG73" s="11">
        <f t="shared" ca="1" si="20"/>
        <v>70000</v>
      </c>
      <c r="AH73" s="11">
        <f t="shared" ca="1" si="20"/>
        <v>79000</v>
      </c>
      <c r="AI73" s="11">
        <f t="shared" ca="1" si="20"/>
        <v>83000</v>
      </c>
      <c r="AJ73" s="11">
        <f t="shared" ca="1" si="20"/>
        <v>92000</v>
      </c>
      <c r="AK73" s="11">
        <f t="shared" ca="1" si="20"/>
        <v>96000</v>
      </c>
      <c r="AL73" s="11">
        <f t="shared" ca="1" si="20"/>
        <v>103000</v>
      </c>
      <c r="AM73" s="11">
        <f t="shared" ca="1" si="20"/>
        <v>110000</v>
      </c>
      <c r="AN73" s="11">
        <f t="shared" ca="1" si="20"/>
        <v>117000</v>
      </c>
      <c r="AO73" s="11">
        <f t="shared" ca="1" si="20"/>
        <v>122000</v>
      </c>
      <c r="AP73" s="11">
        <f t="shared" ca="1" si="20"/>
        <v>132000</v>
      </c>
      <c r="AQ73" s="11">
        <f t="shared" ca="1" si="20"/>
        <v>137000</v>
      </c>
      <c r="AR73" s="11">
        <f t="shared" ca="1" si="20"/>
        <v>147000</v>
      </c>
      <c r="AS73" s="11">
        <f t="shared" ca="1" si="20"/>
        <v>157000</v>
      </c>
      <c r="AT73" s="11">
        <f t="shared" ca="1" si="20"/>
        <v>171702.68452820354</v>
      </c>
      <c r="AU73" s="11">
        <f t="shared" ca="1" si="20"/>
        <v>181090.37428665668</v>
      </c>
      <c r="AV73" s="11">
        <f t="shared" ca="1" si="20"/>
        <v>195144.33871164307</v>
      </c>
      <c r="AW73" s="11">
        <f t="shared" ca="1" si="20"/>
        <v>213844.73346216869</v>
      </c>
      <c r="AX73" s="11">
        <f t="shared" ca="1" si="20"/>
        <v>227170.53419131853</v>
      </c>
      <c r="AY73" s="11">
        <f t="shared" ca="1" si="20"/>
        <v>245099.46637945305</v>
      </c>
      <c r="AZ73" s="11">
        <f t="shared" ca="1" si="20"/>
        <v>262607.93099506968</v>
      </c>
      <c r="BA73" s="11">
        <f t="shared" ca="1" si="20"/>
        <v>279670.92573522869</v>
      </c>
      <c r="BB73" s="11">
        <f t="shared" ca="1" si="20"/>
        <v>296261.96158269153</v>
      </c>
      <c r="BC73" s="11">
        <f t="shared" ca="1" si="20"/>
        <v>317352.97440128814</v>
      </c>
      <c r="BD73" s="11">
        <f t="shared" ca="1" si="20"/>
        <v>337914.23127447121</v>
      </c>
      <c r="BE73" s="11">
        <f t="shared" ca="1" si="20"/>
        <v>362914.23127447121</v>
      </c>
      <c r="BF73" s="11">
        <f t="shared" ca="1" si="20"/>
        <v>386419.60033087828</v>
      </c>
      <c r="BG73" s="11">
        <f t="shared" ca="1" si="20"/>
        <v>409294.97984778456</v>
      </c>
      <c r="BH73" s="11">
        <f t="shared" ca="1" si="20"/>
        <v>436502.90869775735</v>
      </c>
      <c r="BI73" s="11">
        <f t="shared" ca="1" si="20"/>
        <v>463003.69819880859</v>
      </c>
      <c r="BJ73" s="11">
        <f t="shared" ca="1" si="20"/>
        <v>491955.29965710826</v>
      </c>
      <c r="BK73" s="11">
        <f t="shared" ca="1" si="20"/>
        <v>520113.16403337731</v>
      </c>
      <c r="BL73" s="11">
        <f t="shared" ca="1" si="20"/>
        <v>552430.09326461051</v>
      </c>
      <c r="BM73" s="11">
        <f t="shared" ca="1" si="20"/>
        <v>582056.08274492854</v>
      </c>
      <c r="BN73" s="11">
        <f t="shared" ca="1" si="20"/>
        <v>615738.1544398542</v>
      </c>
      <c r="BO73" s="11">
        <f t="shared" ca="1" si="20"/>
        <v>653420.18007704744</v>
      </c>
      <c r="BP73" s="11">
        <f t="shared" ca="1" si="20"/>
        <v>690042.69382341357</v>
      </c>
      <c r="BQ73" s="11">
        <f t="shared" ca="1" si="20"/>
        <v>730542.69382341357</v>
      </c>
    </row>
    <row r="75" spans="1:69">
      <c r="B75" s="25" t="s">
        <v>300</v>
      </c>
    </row>
    <row r="76" spans="1:69" outlineLevel="1">
      <c r="E76" s="2" t="str">
        <f t="shared" ref="E76:BQ76" si="21" xml:space="preserve">  E$18</f>
        <v>Deployed units returned</v>
      </c>
      <c r="F76" s="2">
        <f t="shared" si="21"/>
        <v>0</v>
      </c>
      <c r="G76" s="2" t="str">
        <f t="shared" si="21"/>
        <v>Units</v>
      </c>
      <c r="H76" s="2">
        <f t="shared" ca="1" si="21"/>
        <v>339457.30617658654</v>
      </c>
      <c r="I76" s="2">
        <f t="shared" si="21"/>
        <v>0</v>
      </c>
      <c r="J76" s="2">
        <f t="shared" ca="1" si="21"/>
        <v>0</v>
      </c>
      <c r="K76" s="2">
        <f t="shared" ca="1" si="21"/>
        <v>0</v>
      </c>
      <c r="L76" s="2">
        <f t="shared" ca="1" si="21"/>
        <v>0</v>
      </c>
      <c r="M76" s="2">
        <f t="shared" ca="1" si="21"/>
        <v>0</v>
      </c>
      <c r="N76" s="2">
        <f t="shared" ca="1" si="21"/>
        <v>0</v>
      </c>
      <c r="O76" s="2">
        <f t="shared" ca="1" si="21"/>
        <v>0</v>
      </c>
      <c r="P76" s="2">
        <f t="shared" ca="1" si="21"/>
        <v>0</v>
      </c>
      <c r="Q76" s="2">
        <f t="shared" ca="1" si="21"/>
        <v>0</v>
      </c>
      <c r="R76" s="2">
        <f t="shared" ca="1" si="21"/>
        <v>0</v>
      </c>
      <c r="S76" s="2">
        <f t="shared" ca="1" si="21"/>
        <v>0</v>
      </c>
      <c r="T76" s="2">
        <f t="shared" ca="1" si="21"/>
        <v>0</v>
      </c>
      <c r="U76" s="2">
        <f t="shared" ca="1" si="21"/>
        <v>0</v>
      </c>
      <c r="V76" s="2">
        <f t="shared" ca="1" si="21"/>
        <v>0</v>
      </c>
      <c r="W76" s="2">
        <f t="shared" ca="1" si="21"/>
        <v>0</v>
      </c>
      <c r="X76" s="2">
        <f t="shared" ca="1" si="21"/>
        <v>0</v>
      </c>
      <c r="Y76" s="2">
        <f t="shared" ca="1" si="21"/>
        <v>0</v>
      </c>
      <c r="Z76" s="2">
        <f t="shared" ca="1" si="21"/>
        <v>0</v>
      </c>
      <c r="AA76" s="2">
        <f t="shared" ca="1" si="21"/>
        <v>0</v>
      </c>
      <c r="AB76" s="2">
        <f t="shared" ca="1" si="21"/>
        <v>0</v>
      </c>
      <c r="AC76" s="2">
        <f t="shared" ca="1" si="21"/>
        <v>0</v>
      </c>
      <c r="AD76" s="2">
        <f t="shared" ca="1" si="21"/>
        <v>0</v>
      </c>
      <c r="AE76" s="2">
        <f t="shared" ca="1" si="21"/>
        <v>0</v>
      </c>
      <c r="AF76" s="2">
        <f t="shared" ca="1" si="21"/>
        <v>0</v>
      </c>
      <c r="AG76" s="2">
        <f t="shared" ca="1" si="21"/>
        <v>0</v>
      </c>
      <c r="AH76" s="2">
        <f t="shared" ca="1" si="21"/>
        <v>1000</v>
      </c>
      <c r="AI76" s="2">
        <f t="shared" ca="1" si="21"/>
        <v>1000</v>
      </c>
      <c r="AJ76" s="2">
        <f t="shared" ca="1" si="21"/>
        <v>1000</v>
      </c>
      <c r="AK76" s="2">
        <f t="shared" ca="1" si="21"/>
        <v>1000</v>
      </c>
      <c r="AL76" s="2">
        <f t="shared" ca="1" si="21"/>
        <v>3000</v>
      </c>
      <c r="AM76" s="2">
        <f t="shared" ca="1" si="21"/>
        <v>3000</v>
      </c>
      <c r="AN76" s="2">
        <f t="shared" ca="1" si="21"/>
        <v>3000</v>
      </c>
      <c r="AO76" s="2">
        <f t="shared" ca="1" si="21"/>
        <v>5000</v>
      </c>
      <c r="AP76" s="2">
        <f t="shared" ca="1" si="21"/>
        <v>5000</v>
      </c>
      <c r="AQ76" s="2">
        <f t="shared" ca="1" si="21"/>
        <v>5000</v>
      </c>
      <c r="AR76" s="2">
        <f t="shared" ca="1" si="21"/>
        <v>5000</v>
      </c>
      <c r="AS76" s="2">
        <f t="shared" ca="1" si="21"/>
        <v>5000</v>
      </c>
      <c r="AT76" s="2">
        <f t="shared" ca="1" si="21"/>
        <v>5297.3154717964762</v>
      </c>
      <c r="AU76" s="2">
        <f t="shared" ca="1" si="21"/>
        <v>5612.3102415468647</v>
      </c>
      <c r="AV76" s="2">
        <f t="shared" ca="1" si="21"/>
        <v>5946.035575013605</v>
      </c>
      <c r="AW76" s="2">
        <f t="shared" ca="1" si="21"/>
        <v>6299.6052494743653</v>
      </c>
      <c r="AX76" s="2">
        <f t="shared" ca="1" si="21"/>
        <v>6674.1992708501712</v>
      </c>
      <c r="AY76" s="2">
        <f t="shared" ca="1" si="21"/>
        <v>7071.0678118654751</v>
      </c>
      <c r="AZ76" s="2">
        <f t="shared" ca="1" si="21"/>
        <v>7491.5353843834073</v>
      </c>
      <c r="BA76" s="2">
        <f t="shared" ca="1" si="21"/>
        <v>7937.0052598409975</v>
      </c>
      <c r="BB76" s="2">
        <f t="shared" ca="1" si="21"/>
        <v>8408.9641525371462</v>
      </c>
      <c r="BC76" s="2">
        <f t="shared" ca="1" si="21"/>
        <v>8908.9871814033941</v>
      </c>
      <c r="BD76" s="2">
        <f t="shared" ca="1" si="21"/>
        <v>9438.7431268169366</v>
      </c>
      <c r="BE76" s="2">
        <f t="shared" ca="1" si="21"/>
        <v>10000.000000000002</v>
      </c>
      <c r="BF76" s="2">
        <f t="shared" ca="1" si="21"/>
        <v>11494.630943592954</v>
      </c>
      <c r="BG76" s="2">
        <f t="shared" ca="1" si="21"/>
        <v>12124.620483093731</v>
      </c>
      <c r="BH76" s="2">
        <f t="shared" ca="1" si="21"/>
        <v>12792.071150027214</v>
      </c>
      <c r="BI76" s="2">
        <f t="shared" ca="1" si="21"/>
        <v>13499.210498948736</v>
      </c>
      <c r="BJ76" s="2">
        <f t="shared" ca="1" si="21"/>
        <v>16048.39854170035</v>
      </c>
      <c r="BK76" s="2">
        <f t="shared" ca="1" si="21"/>
        <v>16842.135623730959</v>
      </c>
      <c r="BL76" s="2">
        <f t="shared" ca="1" si="21"/>
        <v>17683.070768766825</v>
      </c>
      <c r="BM76" s="2">
        <f t="shared" ca="1" si="21"/>
        <v>20374.010519682004</v>
      </c>
      <c r="BN76" s="2">
        <f t="shared" ca="1" si="21"/>
        <v>21317.9283050743</v>
      </c>
      <c r="BO76" s="2">
        <f t="shared" ca="1" si="21"/>
        <v>22317.974362806795</v>
      </c>
      <c r="BP76" s="2">
        <f t="shared" ca="1" si="21"/>
        <v>23377.486253633881</v>
      </c>
      <c r="BQ76" s="2">
        <f t="shared" ca="1" si="21"/>
        <v>24500.000000000011</v>
      </c>
    </row>
    <row r="77" spans="1:69" outlineLevel="1">
      <c r="A77" s="34"/>
      <c r="B77" s="34"/>
      <c r="C77" s="64"/>
      <c r="D77" s="65"/>
      <c r="E77" s="21" t="s">
        <v>300</v>
      </c>
      <c r="F77" s="21"/>
      <c r="G77" s="21" t="s">
        <v>122</v>
      </c>
      <c r="H77" s="3">
        <f ca="1" xml:space="preserve"> SUM( J77:BQ77 )</f>
        <v>339457.30617658654</v>
      </c>
      <c r="I77" s="21"/>
      <c r="J77" s="3">
        <f t="shared" ref="J77:BQ77" ca="1" si="22" xml:space="preserve">  J76</f>
        <v>0</v>
      </c>
      <c r="K77" s="3">
        <f t="shared" ca="1" si="22"/>
        <v>0</v>
      </c>
      <c r="L77" s="3">
        <f t="shared" ca="1" si="22"/>
        <v>0</v>
      </c>
      <c r="M77" s="3">
        <f t="shared" ca="1" si="22"/>
        <v>0</v>
      </c>
      <c r="N77" s="3">
        <f t="shared" ca="1" si="22"/>
        <v>0</v>
      </c>
      <c r="O77" s="3">
        <f t="shared" ca="1" si="22"/>
        <v>0</v>
      </c>
      <c r="P77" s="3">
        <f t="shared" ca="1" si="22"/>
        <v>0</v>
      </c>
      <c r="Q77" s="3">
        <f t="shared" ca="1" si="22"/>
        <v>0</v>
      </c>
      <c r="R77" s="3">
        <f t="shared" ca="1" si="22"/>
        <v>0</v>
      </c>
      <c r="S77" s="3">
        <f t="shared" ca="1" si="22"/>
        <v>0</v>
      </c>
      <c r="T77" s="3">
        <f t="shared" ca="1" si="22"/>
        <v>0</v>
      </c>
      <c r="U77" s="3">
        <f t="shared" ca="1" si="22"/>
        <v>0</v>
      </c>
      <c r="V77" s="3">
        <f t="shared" ca="1" si="22"/>
        <v>0</v>
      </c>
      <c r="W77" s="3">
        <f t="shared" ca="1" si="22"/>
        <v>0</v>
      </c>
      <c r="X77" s="3">
        <f t="shared" ca="1" si="22"/>
        <v>0</v>
      </c>
      <c r="Y77" s="3">
        <f t="shared" ca="1" si="22"/>
        <v>0</v>
      </c>
      <c r="Z77" s="3">
        <f t="shared" ca="1" si="22"/>
        <v>0</v>
      </c>
      <c r="AA77" s="3">
        <f t="shared" ca="1" si="22"/>
        <v>0</v>
      </c>
      <c r="AB77" s="3">
        <f t="shared" ca="1" si="22"/>
        <v>0</v>
      </c>
      <c r="AC77" s="3">
        <f t="shared" ca="1" si="22"/>
        <v>0</v>
      </c>
      <c r="AD77" s="3">
        <f t="shared" ca="1" si="22"/>
        <v>0</v>
      </c>
      <c r="AE77" s="3">
        <f t="shared" ca="1" si="22"/>
        <v>0</v>
      </c>
      <c r="AF77" s="3">
        <f t="shared" ca="1" si="22"/>
        <v>0</v>
      </c>
      <c r="AG77" s="3">
        <f t="shared" ca="1" si="22"/>
        <v>0</v>
      </c>
      <c r="AH77" s="3">
        <f t="shared" ca="1" si="22"/>
        <v>1000</v>
      </c>
      <c r="AI77" s="3">
        <f t="shared" ca="1" si="22"/>
        <v>1000</v>
      </c>
      <c r="AJ77" s="3">
        <f t="shared" ca="1" si="22"/>
        <v>1000</v>
      </c>
      <c r="AK77" s="3">
        <f t="shared" ca="1" si="22"/>
        <v>1000</v>
      </c>
      <c r="AL77" s="3">
        <f t="shared" ca="1" si="22"/>
        <v>3000</v>
      </c>
      <c r="AM77" s="3">
        <f t="shared" ca="1" si="22"/>
        <v>3000</v>
      </c>
      <c r="AN77" s="3">
        <f t="shared" ca="1" si="22"/>
        <v>3000</v>
      </c>
      <c r="AO77" s="3">
        <f t="shared" ca="1" si="22"/>
        <v>5000</v>
      </c>
      <c r="AP77" s="3">
        <f t="shared" ca="1" si="22"/>
        <v>5000</v>
      </c>
      <c r="AQ77" s="3">
        <f t="shared" ca="1" si="22"/>
        <v>5000</v>
      </c>
      <c r="AR77" s="3">
        <f t="shared" ca="1" si="22"/>
        <v>5000</v>
      </c>
      <c r="AS77" s="3">
        <f t="shared" ca="1" si="22"/>
        <v>5000</v>
      </c>
      <c r="AT77" s="3">
        <f t="shared" ca="1" si="22"/>
        <v>5297.3154717964762</v>
      </c>
      <c r="AU77" s="3">
        <f t="shared" ca="1" si="22"/>
        <v>5612.3102415468647</v>
      </c>
      <c r="AV77" s="3">
        <f t="shared" ca="1" si="22"/>
        <v>5946.035575013605</v>
      </c>
      <c r="AW77" s="3">
        <f t="shared" ca="1" si="22"/>
        <v>6299.6052494743653</v>
      </c>
      <c r="AX77" s="3">
        <f t="shared" ca="1" si="22"/>
        <v>6674.1992708501712</v>
      </c>
      <c r="AY77" s="3">
        <f t="shared" ca="1" si="22"/>
        <v>7071.0678118654751</v>
      </c>
      <c r="AZ77" s="3">
        <f t="shared" ca="1" si="22"/>
        <v>7491.5353843834073</v>
      </c>
      <c r="BA77" s="3">
        <f t="shared" ca="1" si="22"/>
        <v>7937.0052598409975</v>
      </c>
      <c r="BB77" s="3">
        <f t="shared" ca="1" si="22"/>
        <v>8408.9641525371462</v>
      </c>
      <c r="BC77" s="3">
        <f t="shared" ca="1" si="22"/>
        <v>8908.9871814033941</v>
      </c>
      <c r="BD77" s="3">
        <f t="shared" ca="1" si="22"/>
        <v>9438.7431268169366</v>
      </c>
      <c r="BE77" s="3">
        <f t="shared" ca="1" si="22"/>
        <v>10000.000000000002</v>
      </c>
      <c r="BF77" s="3">
        <f t="shared" ca="1" si="22"/>
        <v>11494.630943592954</v>
      </c>
      <c r="BG77" s="3">
        <f t="shared" ca="1" si="22"/>
        <v>12124.620483093731</v>
      </c>
      <c r="BH77" s="3">
        <f t="shared" ca="1" si="22"/>
        <v>12792.071150027214</v>
      </c>
      <c r="BI77" s="3">
        <f t="shared" ca="1" si="22"/>
        <v>13499.210498948736</v>
      </c>
      <c r="BJ77" s="3">
        <f t="shared" ca="1" si="22"/>
        <v>16048.39854170035</v>
      </c>
      <c r="BK77" s="3">
        <f t="shared" ca="1" si="22"/>
        <v>16842.135623730959</v>
      </c>
      <c r="BL77" s="3">
        <f t="shared" ca="1" si="22"/>
        <v>17683.070768766825</v>
      </c>
      <c r="BM77" s="3">
        <f t="shared" ca="1" si="22"/>
        <v>20374.010519682004</v>
      </c>
      <c r="BN77" s="3">
        <f t="shared" ca="1" si="22"/>
        <v>21317.9283050743</v>
      </c>
      <c r="BO77" s="3">
        <f t="shared" ca="1" si="22"/>
        <v>22317.974362806795</v>
      </c>
      <c r="BP77" s="3">
        <f t="shared" ca="1" si="22"/>
        <v>23377.486253633881</v>
      </c>
      <c r="BQ77" s="3">
        <f t="shared" ca="1" si="22"/>
        <v>24500.000000000011</v>
      </c>
    </row>
    <row r="80" spans="1:69">
      <c r="B80" s="25" t="s">
        <v>223</v>
      </c>
    </row>
    <row r="81" spans="1:69" s="80" customFormat="1">
      <c r="A81" s="60"/>
      <c r="B81" s="60"/>
      <c r="C81" s="82"/>
      <c r="D81" s="85"/>
      <c r="E81" s="40" t="str">
        <f xml:space="preserve">  InpC!E$39</f>
        <v>Opening Total Units retired</v>
      </c>
      <c r="F81" s="40">
        <f xml:space="preserve">  InpC!F$39</f>
        <v>0</v>
      </c>
      <c r="G81" s="40" t="str">
        <f xml:space="preserve">  InpC!G$39</f>
        <v>Units</v>
      </c>
      <c r="M81" s="87"/>
    </row>
    <row r="82" spans="1:69">
      <c r="A82" s="18"/>
      <c r="B82" s="18"/>
      <c r="C82" s="28"/>
      <c r="D82" s="27"/>
      <c r="E82" s="9" t="str">
        <f xml:space="preserve">  Time!E$28</f>
        <v>Period number</v>
      </c>
      <c r="F82" s="9">
        <f xml:space="preserve">  Time!F$28</f>
        <v>0</v>
      </c>
      <c r="G82" s="9" t="str">
        <f xml:space="preserve">  Time!G$28</f>
        <v>Counter</v>
      </c>
      <c r="H82" s="9">
        <f xml:space="preserve">  Time!H$28</f>
        <v>0</v>
      </c>
      <c r="I82" s="9">
        <f xml:space="preserve">  Time!I$28</f>
        <v>0</v>
      </c>
      <c r="J82" s="9">
        <f xml:space="preserve">  Time!J$28</f>
        <v>1</v>
      </c>
      <c r="K82" s="9">
        <f xml:space="preserve">  Time!K$28</f>
        <v>2</v>
      </c>
      <c r="L82" s="9">
        <f xml:space="preserve">  Time!L$28</f>
        <v>3</v>
      </c>
      <c r="M82" s="9">
        <f xml:space="preserve">  Time!M$28</f>
        <v>4</v>
      </c>
      <c r="N82" s="9">
        <f xml:space="preserve">  Time!N$28</f>
        <v>5</v>
      </c>
      <c r="O82" s="9">
        <f xml:space="preserve">  Time!O$28</f>
        <v>6</v>
      </c>
      <c r="P82" s="9">
        <f xml:space="preserve">  Time!P$28</f>
        <v>7</v>
      </c>
      <c r="Q82" s="9">
        <f xml:space="preserve">  Time!Q$28</f>
        <v>8</v>
      </c>
      <c r="R82" s="9">
        <f xml:space="preserve">  Time!R$28</f>
        <v>9</v>
      </c>
      <c r="S82" s="9">
        <f xml:space="preserve">  Time!S$28</f>
        <v>10</v>
      </c>
      <c r="T82" s="9">
        <f xml:space="preserve">  Time!T$28</f>
        <v>11</v>
      </c>
      <c r="U82" s="9">
        <f xml:space="preserve">  Time!U$28</f>
        <v>12</v>
      </c>
      <c r="V82" s="9">
        <f xml:space="preserve">  Time!V$28</f>
        <v>13</v>
      </c>
      <c r="W82" s="9">
        <f xml:space="preserve">  Time!W$28</f>
        <v>14</v>
      </c>
      <c r="X82" s="9">
        <f xml:space="preserve">  Time!X$28</f>
        <v>15</v>
      </c>
      <c r="Y82" s="9">
        <f xml:space="preserve">  Time!Y$28</f>
        <v>16</v>
      </c>
      <c r="Z82" s="9">
        <f xml:space="preserve">  Time!Z$28</f>
        <v>17</v>
      </c>
      <c r="AA82" s="9">
        <f xml:space="preserve">  Time!AA$28</f>
        <v>18</v>
      </c>
      <c r="AB82" s="9">
        <f xml:space="preserve">  Time!AB$28</f>
        <v>19</v>
      </c>
      <c r="AC82" s="9">
        <f xml:space="preserve">  Time!AC$28</f>
        <v>20</v>
      </c>
      <c r="AD82" s="9">
        <f xml:space="preserve">  Time!AD$28</f>
        <v>21</v>
      </c>
      <c r="AE82" s="9">
        <f xml:space="preserve">  Time!AE$28</f>
        <v>22</v>
      </c>
      <c r="AF82" s="9">
        <f xml:space="preserve">  Time!AF$28</f>
        <v>23</v>
      </c>
      <c r="AG82" s="9">
        <f xml:space="preserve">  Time!AG$28</f>
        <v>24</v>
      </c>
      <c r="AH82" s="9">
        <f xml:space="preserve">  Time!AH$28</f>
        <v>25</v>
      </c>
      <c r="AI82" s="9">
        <f xml:space="preserve">  Time!AI$28</f>
        <v>26</v>
      </c>
      <c r="AJ82" s="9">
        <f xml:space="preserve">  Time!AJ$28</f>
        <v>27</v>
      </c>
      <c r="AK82" s="9">
        <f xml:space="preserve">  Time!AK$28</f>
        <v>28</v>
      </c>
      <c r="AL82" s="9">
        <f xml:space="preserve">  Time!AL$28</f>
        <v>29</v>
      </c>
      <c r="AM82" s="9">
        <f xml:space="preserve">  Time!AM$28</f>
        <v>30</v>
      </c>
      <c r="AN82" s="9">
        <f xml:space="preserve">  Time!AN$28</f>
        <v>31</v>
      </c>
      <c r="AO82" s="9">
        <f xml:space="preserve">  Time!AO$28</f>
        <v>32</v>
      </c>
      <c r="AP82" s="9">
        <f xml:space="preserve">  Time!AP$28</f>
        <v>33</v>
      </c>
      <c r="AQ82" s="9">
        <f xml:space="preserve">  Time!AQ$28</f>
        <v>34</v>
      </c>
      <c r="AR82" s="9">
        <f xml:space="preserve">  Time!AR$28</f>
        <v>35</v>
      </c>
      <c r="AS82" s="9">
        <f xml:space="preserve">  Time!AS$28</f>
        <v>36</v>
      </c>
      <c r="AT82" s="9">
        <f xml:space="preserve">  Time!AT$28</f>
        <v>37</v>
      </c>
      <c r="AU82" s="9">
        <f xml:space="preserve">  Time!AU$28</f>
        <v>38</v>
      </c>
      <c r="AV82" s="9">
        <f xml:space="preserve">  Time!AV$28</f>
        <v>39</v>
      </c>
      <c r="AW82" s="9">
        <f xml:space="preserve">  Time!AW$28</f>
        <v>40</v>
      </c>
      <c r="AX82" s="9">
        <f xml:space="preserve">  Time!AX$28</f>
        <v>41</v>
      </c>
      <c r="AY82" s="9">
        <f xml:space="preserve">  Time!AY$28</f>
        <v>42</v>
      </c>
      <c r="AZ82" s="9">
        <f xml:space="preserve">  Time!AZ$28</f>
        <v>43</v>
      </c>
      <c r="BA82" s="9">
        <f xml:space="preserve">  Time!BA$28</f>
        <v>44</v>
      </c>
      <c r="BB82" s="9">
        <f xml:space="preserve">  Time!BB$28</f>
        <v>45</v>
      </c>
      <c r="BC82" s="9">
        <f xml:space="preserve">  Time!BC$28</f>
        <v>46</v>
      </c>
      <c r="BD82" s="9">
        <f xml:space="preserve">  Time!BD$28</f>
        <v>47</v>
      </c>
      <c r="BE82" s="9">
        <f xml:space="preserve">  Time!BE$28</f>
        <v>48</v>
      </c>
      <c r="BF82" s="9">
        <f xml:space="preserve">  Time!BF$28</f>
        <v>49</v>
      </c>
      <c r="BG82" s="9">
        <f xml:space="preserve">  Time!BG$28</f>
        <v>50</v>
      </c>
      <c r="BH82" s="9">
        <f xml:space="preserve">  Time!BH$28</f>
        <v>51</v>
      </c>
      <c r="BI82" s="9">
        <f xml:space="preserve">  Time!BI$28</f>
        <v>52</v>
      </c>
      <c r="BJ82" s="9">
        <f xml:space="preserve">  Time!BJ$28</f>
        <v>53</v>
      </c>
      <c r="BK82" s="9">
        <f xml:space="preserve">  Time!BK$28</f>
        <v>54</v>
      </c>
      <c r="BL82" s="9">
        <f xml:space="preserve">  Time!BL$28</f>
        <v>55</v>
      </c>
      <c r="BM82" s="9">
        <f xml:space="preserve">  Time!BM$28</f>
        <v>56</v>
      </c>
      <c r="BN82" s="9">
        <f xml:space="preserve">  Time!BN$28</f>
        <v>57</v>
      </c>
      <c r="BO82" s="9">
        <f xml:space="preserve">  Time!BO$28</f>
        <v>58</v>
      </c>
      <c r="BP82" s="9">
        <f xml:space="preserve">  Time!BP$28</f>
        <v>59</v>
      </c>
      <c r="BQ82" s="9">
        <f xml:space="preserve">  Time!BQ$28</f>
        <v>60</v>
      </c>
    </row>
    <row r="83" spans="1:69">
      <c r="E83" s="47" t="s">
        <v>152</v>
      </c>
      <c r="G83" s="47" t="s">
        <v>122</v>
      </c>
      <c r="J83" s="2">
        <f t="shared" ref="J83:BQ83" si="23" xml:space="preserve">  I85</f>
        <v>0</v>
      </c>
      <c r="K83" s="2">
        <f t="shared" ca="1" si="23"/>
        <v>0</v>
      </c>
      <c r="L83" s="2">
        <f t="shared" ca="1" si="23"/>
        <v>0</v>
      </c>
      <c r="M83" s="2">
        <f t="shared" ca="1" si="23"/>
        <v>0</v>
      </c>
      <c r="N83" s="2">
        <f t="shared" ca="1" si="23"/>
        <v>0</v>
      </c>
      <c r="O83" s="2">
        <f t="shared" ca="1" si="23"/>
        <v>0</v>
      </c>
      <c r="P83" s="2">
        <f t="shared" ca="1" si="23"/>
        <v>0</v>
      </c>
      <c r="Q83" s="2">
        <f t="shared" ca="1" si="23"/>
        <v>0</v>
      </c>
      <c r="R83" s="2">
        <f t="shared" ca="1" si="23"/>
        <v>0</v>
      </c>
      <c r="S83" s="2">
        <f t="shared" ca="1" si="23"/>
        <v>0</v>
      </c>
      <c r="T83" s="2">
        <f t="shared" ca="1" si="23"/>
        <v>0</v>
      </c>
      <c r="U83" s="2">
        <f t="shared" ca="1" si="23"/>
        <v>0</v>
      </c>
      <c r="V83" s="2">
        <f t="shared" ca="1" si="23"/>
        <v>0</v>
      </c>
      <c r="W83" s="2">
        <f t="shared" ca="1" si="23"/>
        <v>0</v>
      </c>
      <c r="X83" s="2">
        <f t="shared" ca="1" si="23"/>
        <v>0</v>
      </c>
      <c r="Y83" s="2">
        <f t="shared" ca="1" si="23"/>
        <v>0</v>
      </c>
      <c r="Z83" s="2">
        <f t="shared" ca="1" si="23"/>
        <v>0</v>
      </c>
      <c r="AA83" s="2">
        <f t="shared" ca="1" si="23"/>
        <v>0</v>
      </c>
      <c r="AB83" s="2">
        <f t="shared" ca="1" si="23"/>
        <v>0</v>
      </c>
      <c r="AC83" s="2">
        <f t="shared" ca="1" si="23"/>
        <v>0</v>
      </c>
      <c r="AD83" s="2">
        <f t="shared" ca="1" si="23"/>
        <v>0</v>
      </c>
      <c r="AE83" s="2">
        <f t="shared" ca="1" si="23"/>
        <v>0</v>
      </c>
      <c r="AF83" s="2">
        <f t="shared" ca="1" si="23"/>
        <v>0</v>
      </c>
      <c r="AG83" s="2">
        <f t="shared" ca="1" si="23"/>
        <v>0</v>
      </c>
      <c r="AH83" s="2">
        <f t="shared" ca="1" si="23"/>
        <v>0</v>
      </c>
      <c r="AI83" s="2">
        <f t="shared" ca="1" si="23"/>
        <v>1000</v>
      </c>
      <c r="AJ83" s="2">
        <f t="shared" ca="1" si="23"/>
        <v>2000</v>
      </c>
      <c r="AK83" s="2">
        <f t="shared" ca="1" si="23"/>
        <v>3000</v>
      </c>
      <c r="AL83" s="2">
        <f t="shared" ca="1" si="23"/>
        <v>4000</v>
      </c>
      <c r="AM83" s="2">
        <f t="shared" ca="1" si="23"/>
        <v>7000</v>
      </c>
      <c r="AN83" s="2">
        <f t="shared" ca="1" si="23"/>
        <v>10000</v>
      </c>
      <c r="AO83" s="2">
        <f t="shared" ca="1" si="23"/>
        <v>13000</v>
      </c>
      <c r="AP83" s="2">
        <f t="shared" ca="1" si="23"/>
        <v>18000</v>
      </c>
      <c r="AQ83" s="2">
        <f t="shared" ca="1" si="23"/>
        <v>23000</v>
      </c>
      <c r="AR83" s="2">
        <f t="shared" ca="1" si="23"/>
        <v>28000</v>
      </c>
      <c r="AS83" s="2">
        <f t="shared" ca="1" si="23"/>
        <v>33000</v>
      </c>
      <c r="AT83" s="2">
        <f t="shared" ca="1" si="23"/>
        <v>38000</v>
      </c>
      <c r="AU83" s="2">
        <f t="shared" ca="1" si="23"/>
        <v>43297.315471796479</v>
      </c>
      <c r="AV83" s="2">
        <f t="shared" ca="1" si="23"/>
        <v>48909.625713343346</v>
      </c>
      <c r="AW83" s="2">
        <f t="shared" ca="1" si="23"/>
        <v>54855.661288356954</v>
      </c>
      <c r="AX83" s="2">
        <f t="shared" ca="1" si="23"/>
        <v>61155.266537831318</v>
      </c>
      <c r="AY83" s="2">
        <f t="shared" ca="1" si="23"/>
        <v>67829.465808681489</v>
      </c>
      <c r="AZ83" s="2">
        <f t="shared" ca="1" si="23"/>
        <v>74900.533620546965</v>
      </c>
      <c r="BA83" s="2">
        <f t="shared" ca="1" si="23"/>
        <v>82392.069004930367</v>
      </c>
      <c r="BB83" s="2">
        <f t="shared" ca="1" si="23"/>
        <v>90329.074264771363</v>
      </c>
      <c r="BC83" s="2">
        <f t="shared" ca="1" si="23"/>
        <v>98738.038417308504</v>
      </c>
      <c r="BD83" s="2">
        <f t="shared" ca="1" si="23"/>
        <v>107647.0255987119</v>
      </c>
      <c r="BE83" s="2">
        <f t="shared" ca="1" si="23"/>
        <v>117085.76872552883</v>
      </c>
      <c r="BF83" s="2">
        <f t="shared" ca="1" si="23"/>
        <v>127085.76872552883</v>
      </c>
      <c r="BG83" s="2">
        <f t="shared" ca="1" si="23"/>
        <v>138580.39966912178</v>
      </c>
      <c r="BH83" s="2">
        <f t="shared" ca="1" si="23"/>
        <v>150705.0201522155</v>
      </c>
      <c r="BI83" s="2">
        <f t="shared" ca="1" si="23"/>
        <v>163497.09130224271</v>
      </c>
      <c r="BJ83" s="2">
        <f t="shared" ca="1" si="23"/>
        <v>176996.30180119144</v>
      </c>
      <c r="BK83" s="2">
        <f t="shared" ca="1" si="23"/>
        <v>193044.7003428918</v>
      </c>
      <c r="BL83" s="2">
        <f t="shared" ca="1" si="23"/>
        <v>209886.83596662275</v>
      </c>
      <c r="BM83" s="2">
        <f t="shared" ca="1" si="23"/>
        <v>227569.90673538958</v>
      </c>
      <c r="BN83" s="2">
        <f t="shared" ca="1" si="23"/>
        <v>247943.91725507157</v>
      </c>
      <c r="BO83" s="2">
        <f t="shared" ca="1" si="23"/>
        <v>269261.84556014586</v>
      </c>
      <c r="BP83" s="2">
        <f t="shared" ca="1" si="23"/>
        <v>291579.81992295268</v>
      </c>
      <c r="BQ83" s="2">
        <f t="shared" ca="1" si="23"/>
        <v>314957.30617658654</v>
      </c>
    </row>
    <row r="84" spans="1:69">
      <c r="D84" s="94" t="s">
        <v>220</v>
      </c>
      <c r="E84" s="2" t="str">
        <f t="shared" ref="E84:BQ84" si="24" xml:space="preserve">  E$77</f>
        <v>Units retired</v>
      </c>
      <c r="F84" s="2">
        <f t="shared" si="24"/>
        <v>0</v>
      </c>
      <c r="G84" s="2" t="str">
        <f t="shared" si="24"/>
        <v>Units</v>
      </c>
      <c r="H84" s="2">
        <f t="shared" ca="1" si="24"/>
        <v>339457.30617658654</v>
      </c>
      <c r="I84" s="2">
        <f t="shared" si="24"/>
        <v>0</v>
      </c>
      <c r="J84" s="2">
        <f t="shared" ca="1" si="24"/>
        <v>0</v>
      </c>
      <c r="K84" s="2">
        <f t="shared" ca="1" si="24"/>
        <v>0</v>
      </c>
      <c r="L84" s="2">
        <f t="shared" ca="1" si="24"/>
        <v>0</v>
      </c>
      <c r="M84" s="2">
        <f t="shared" ca="1" si="24"/>
        <v>0</v>
      </c>
      <c r="N84" s="2">
        <f t="shared" ca="1" si="24"/>
        <v>0</v>
      </c>
      <c r="O84" s="2">
        <f t="shared" ca="1" si="24"/>
        <v>0</v>
      </c>
      <c r="P84" s="2">
        <f t="shared" ca="1" si="24"/>
        <v>0</v>
      </c>
      <c r="Q84" s="2">
        <f t="shared" ca="1" si="24"/>
        <v>0</v>
      </c>
      <c r="R84" s="2">
        <f t="shared" ca="1" si="24"/>
        <v>0</v>
      </c>
      <c r="S84" s="2">
        <f t="shared" ca="1" si="24"/>
        <v>0</v>
      </c>
      <c r="T84" s="2">
        <f t="shared" ca="1" si="24"/>
        <v>0</v>
      </c>
      <c r="U84" s="2">
        <f t="shared" ca="1" si="24"/>
        <v>0</v>
      </c>
      <c r="V84" s="2">
        <f t="shared" ca="1" si="24"/>
        <v>0</v>
      </c>
      <c r="W84" s="2">
        <f t="shared" ca="1" si="24"/>
        <v>0</v>
      </c>
      <c r="X84" s="2">
        <f t="shared" ca="1" si="24"/>
        <v>0</v>
      </c>
      <c r="Y84" s="2">
        <f t="shared" ca="1" si="24"/>
        <v>0</v>
      </c>
      <c r="Z84" s="2">
        <f t="shared" ca="1" si="24"/>
        <v>0</v>
      </c>
      <c r="AA84" s="2">
        <f t="shared" ca="1" si="24"/>
        <v>0</v>
      </c>
      <c r="AB84" s="2">
        <f t="shared" ca="1" si="24"/>
        <v>0</v>
      </c>
      <c r="AC84" s="2">
        <f t="shared" ca="1" si="24"/>
        <v>0</v>
      </c>
      <c r="AD84" s="2">
        <f t="shared" ca="1" si="24"/>
        <v>0</v>
      </c>
      <c r="AE84" s="2">
        <f t="shared" ca="1" si="24"/>
        <v>0</v>
      </c>
      <c r="AF84" s="2">
        <f t="shared" ca="1" si="24"/>
        <v>0</v>
      </c>
      <c r="AG84" s="2">
        <f t="shared" ca="1" si="24"/>
        <v>0</v>
      </c>
      <c r="AH84" s="2">
        <f t="shared" ca="1" si="24"/>
        <v>1000</v>
      </c>
      <c r="AI84" s="2">
        <f t="shared" ca="1" si="24"/>
        <v>1000</v>
      </c>
      <c r="AJ84" s="2">
        <f t="shared" ca="1" si="24"/>
        <v>1000</v>
      </c>
      <c r="AK84" s="2">
        <f t="shared" ca="1" si="24"/>
        <v>1000</v>
      </c>
      <c r="AL84" s="2">
        <f t="shared" ca="1" si="24"/>
        <v>3000</v>
      </c>
      <c r="AM84" s="2">
        <f t="shared" ca="1" si="24"/>
        <v>3000</v>
      </c>
      <c r="AN84" s="2">
        <f t="shared" ca="1" si="24"/>
        <v>3000</v>
      </c>
      <c r="AO84" s="2">
        <f t="shared" ca="1" si="24"/>
        <v>5000</v>
      </c>
      <c r="AP84" s="2">
        <f t="shared" ca="1" si="24"/>
        <v>5000</v>
      </c>
      <c r="AQ84" s="2">
        <f t="shared" ca="1" si="24"/>
        <v>5000</v>
      </c>
      <c r="AR84" s="2">
        <f t="shared" ca="1" si="24"/>
        <v>5000</v>
      </c>
      <c r="AS84" s="2">
        <f t="shared" ca="1" si="24"/>
        <v>5000</v>
      </c>
      <c r="AT84" s="2">
        <f t="shared" ca="1" si="24"/>
        <v>5297.3154717964762</v>
      </c>
      <c r="AU84" s="2">
        <f t="shared" ca="1" si="24"/>
        <v>5612.3102415468647</v>
      </c>
      <c r="AV84" s="2">
        <f t="shared" ca="1" si="24"/>
        <v>5946.035575013605</v>
      </c>
      <c r="AW84" s="2">
        <f t="shared" ca="1" si="24"/>
        <v>6299.6052494743653</v>
      </c>
      <c r="AX84" s="2">
        <f t="shared" ca="1" si="24"/>
        <v>6674.1992708501712</v>
      </c>
      <c r="AY84" s="2">
        <f t="shared" ca="1" si="24"/>
        <v>7071.0678118654751</v>
      </c>
      <c r="AZ84" s="2">
        <f t="shared" ca="1" si="24"/>
        <v>7491.5353843834073</v>
      </c>
      <c r="BA84" s="2">
        <f t="shared" ca="1" si="24"/>
        <v>7937.0052598409975</v>
      </c>
      <c r="BB84" s="2">
        <f t="shared" ca="1" si="24"/>
        <v>8408.9641525371462</v>
      </c>
      <c r="BC84" s="2">
        <f t="shared" ca="1" si="24"/>
        <v>8908.9871814033941</v>
      </c>
      <c r="BD84" s="2">
        <f t="shared" ca="1" si="24"/>
        <v>9438.7431268169366</v>
      </c>
      <c r="BE84" s="2">
        <f t="shared" ca="1" si="24"/>
        <v>10000.000000000002</v>
      </c>
      <c r="BF84" s="2">
        <f t="shared" ca="1" si="24"/>
        <v>11494.630943592954</v>
      </c>
      <c r="BG84" s="2">
        <f t="shared" ca="1" si="24"/>
        <v>12124.620483093731</v>
      </c>
      <c r="BH84" s="2">
        <f t="shared" ca="1" si="24"/>
        <v>12792.071150027214</v>
      </c>
      <c r="BI84" s="2">
        <f t="shared" ca="1" si="24"/>
        <v>13499.210498948736</v>
      </c>
      <c r="BJ84" s="2">
        <f t="shared" ca="1" si="24"/>
        <v>16048.39854170035</v>
      </c>
      <c r="BK84" s="2">
        <f t="shared" ca="1" si="24"/>
        <v>16842.135623730959</v>
      </c>
      <c r="BL84" s="2">
        <f t="shared" ca="1" si="24"/>
        <v>17683.070768766825</v>
      </c>
      <c r="BM84" s="2">
        <f t="shared" ca="1" si="24"/>
        <v>20374.010519682004</v>
      </c>
      <c r="BN84" s="2">
        <f t="shared" ca="1" si="24"/>
        <v>21317.9283050743</v>
      </c>
      <c r="BO84" s="2">
        <f t="shared" ca="1" si="24"/>
        <v>22317.974362806795</v>
      </c>
      <c r="BP84" s="2">
        <f t="shared" ca="1" si="24"/>
        <v>23377.486253633881</v>
      </c>
      <c r="BQ84" s="2">
        <f t="shared" ca="1" si="24"/>
        <v>24500.000000000011</v>
      </c>
    </row>
    <row r="85" spans="1:69" s="86" customFormat="1">
      <c r="A85" s="63"/>
      <c r="B85" s="63"/>
      <c r="C85" s="89"/>
      <c r="D85" s="91"/>
      <c r="E85" s="33" t="s">
        <v>223</v>
      </c>
      <c r="F85" s="33"/>
      <c r="G85" s="33" t="s">
        <v>122</v>
      </c>
      <c r="H85" s="33"/>
      <c r="I85" s="11">
        <f t="shared" ref="I85:BQ85" si="25" xml:space="preserve">  IF( I82 = 0, $F81, I83 + I84 )</f>
        <v>0</v>
      </c>
      <c r="J85" s="11">
        <f t="shared" ca="1" si="25"/>
        <v>0</v>
      </c>
      <c r="K85" s="11">
        <f t="shared" ca="1" si="25"/>
        <v>0</v>
      </c>
      <c r="L85" s="11">
        <f t="shared" ca="1" si="25"/>
        <v>0</v>
      </c>
      <c r="M85" s="11">
        <f t="shared" ca="1" si="25"/>
        <v>0</v>
      </c>
      <c r="N85" s="11">
        <f t="shared" ca="1" si="25"/>
        <v>0</v>
      </c>
      <c r="O85" s="11">
        <f t="shared" ca="1" si="25"/>
        <v>0</v>
      </c>
      <c r="P85" s="11">
        <f t="shared" ca="1" si="25"/>
        <v>0</v>
      </c>
      <c r="Q85" s="11">
        <f t="shared" ca="1" si="25"/>
        <v>0</v>
      </c>
      <c r="R85" s="11">
        <f t="shared" ca="1" si="25"/>
        <v>0</v>
      </c>
      <c r="S85" s="11">
        <f t="shared" ca="1" si="25"/>
        <v>0</v>
      </c>
      <c r="T85" s="11">
        <f t="shared" ca="1" si="25"/>
        <v>0</v>
      </c>
      <c r="U85" s="11">
        <f t="shared" ca="1" si="25"/>
        <v>0</v>
      </c>
      <c r="V85" s="11">
        <f t="shared" ca="1" si="25"/>
        <v>0</v>
      </c>
      <c r="W85" s="11">
        <f t="shared" ca="1" si="25"/>
        <v>0</v>
      </c>
      <c r="X85" s="11">
        <f t="shared" ca="1" si="25"/>
        <v>0</v>
      </c>
      <c r="Y85" s="11">
        <f t="shared" ca="1" si="25"/>
        <v>0</v>
      </c>
      <c r="Z85" s="11">
        <f t="shared" ca="1" si="25"/>
        <v>0</v>
      </c>
      <c r="AA85" s="11">
        <f t="shared" ca="1" si="25"/>
        <v>0</v>
      </c>
      <c r="AB85" s="11">
        <f t="shared" ca="1" si="25"/>
        <v>0</v>
      </c>
      <c r="AC85" s="11">
        <f t="shared" ca="1" si="25"/>
        <v>0</v>
      </c>
      <c r="AD85" s="11">
        <f t="shared" ca="1" si="25"/>
        <v>0</v>
      </c>
      <c r="AE85" s="11">
        <f t="shared" ca="1" si="25"/>
        <v>0</v>
      </c>
      <c r="AF85" s="11">
        <f t="shared" ca="1" si="25"/>
        <v>0</v>
      </c>
      <c r="AG85" s="11">
        <f t="shared" ca="1" si="25"/>
        <v>0</v>
      </c>
      <c r="AH85" s="11">
        <f t="shared" ca="1" si="25"/>
        <v>1000</v>
      </c>
      <c r="AI85" s="11">
        <f t="shared" ca="1" si="25"/>
        <v>2000</v>
      </c>
      <c r="AJ85" s="11">
        <f t="shared" ca="1" si="25"/>
        <v>3000</v>
      </c>
      <c r="AK85" s="11">
        <f t="shared" ca="1" si="25"/>
        <v>4000</v>
      </c>
      <c r="AL85" s="11">
        <f t="shared" ca="1" si="25"/>
        <v>7000</v>
      </c>
      <c r="AM85" s="11">
        <f t="shared" ca="1" si="25"/>
        <v>10000</v>
      </c>
      <c r="AN85" s="11">
        <f t="shared" ca="1" si="25"/>
        <v>13000</v>
      </c>
      <c r="AO85" s="11">
        <f t="shared" ca="1" si="25"/>
        <v>18000</v>
      </c>
      <c r="AP85" s="11">
        <f t="shared" ca="1" si="25"/>
        <v>23000</v>
      </c>
      <c r="AQ85" s="11">
        <f t="shared" ca="1" si="25"/>
        <v>28000</v>
      </c>
      <c r="AR85" s="11">
        <f t="shared" ca="1" si="25"/>
        <v>33000</v>
      </c>
      <c r="AS85" s="11">
        <f t="shared" ca="1" si="25"/>
        <v>38000</v>
      </c>
      <c r="AT85" s="11">
        <f t="shared" ca="1" si="25"/>
        <v>43297.315471796479</v>
      </c>
      <c r="AU85" s="11">
        <f t="shared" ca="1" si="25"/>
        <v>48909.625713343346</v>
      </c>
      <c r="AV85" s="11">
        <f t="shared" ca="1" si="25"/>
        <v>54855.661288356954</v>
      </c>
      <c r="AW85" s="11">
        <f t="shared" ca="1" si="25"/>
        <v>61155.266537831318</v>
      </c>
      <c r="AX85" s="11">
        <f t="shared" ca="1" si="25"/>
        <v>67829.465808681489</v>
      </c>
      <c r="AY85" s="11">
        <f t="shared" ca="1" si="25"/>
        <v>74900.533620546965</v>
      </c>
      <c r="AZ85" s="11">
        <f t="shared" ca="1" si="25"/>
        <v>82392.069004930367</v>
      </c>
      <c r="BA85" s="11">
        <f t="shared" ca="1" si="25"/>
        <v>90329.074264771363</v>
      </c>
      <c r="BB85" s="11">
        <f t="shared" ca="1" si="25"/>
        <v>98738.038417308504</v>
      </c>
      <c r="BC85" s="11">
        <f t="shared" ca="1" si="25"/>
        <v>107647.0255987119</v>
      </c>
      <c r="BD85" s="11">
        <f t="shared" ca="1" si="25"/>
        <v>117085.76872552883</v>
      </c>
      <c r="BE85" s="11">
        <f t="shared" ca="1" si="25"/>
        <v>127085.76872552883</v>
      </c>
      <c r="BF85" s="11">
        <f t="shared" ca="1" si="25"/>
        <v>138580.39966912178</v>
      </c>
      <c r="BG85" s="11">
        <f t="shared" ca="1" si="25"/>
        <v>150705.0201522155</v>
      </c>
      <c r="BH85" s="11">
        <f t="shared" ca="1" si="25"/>
        <v>163497.09130224271</v>
      </c>
      <c r="BI85" s="11">
        <f t="shared" ca="1" si="25"/>
        <v>176996.30180119144</v>
      </c>
      <c r="BJ85" s="11">
        <f t="shared" ca="1" si="25"/>
        <v>193044.7003428918</v>
      </c>
      <c r="BK85" s="11">
        <f t="shared" ca="1" si="25"/>
        <v>209886.83596662275</v>
      </c>
      <c r="BL85" s="11">
        <f t="shared" ca="1" si="25"/>
        <v>227569.90673538958</v>
      </c>
      <c r="BM85" s="11">
        <f t="shared" ca="1" si="25"/>
        <v>247943.91725507157</v>
      </c>
      <c r="BN85" s="11">
        <f t="shared" ca="1" si="25"/>
        <v>269261.84556014586</v>
      </c>
      <c r="BO85" s="11">
        <f t="shared" ca="1" si="25"/>
        <v>291579.81992295268</v>
      </c>
      <c r="BP85" s="11">
        <f t="shared" ca="1" si="25"/>
        <v>314957.30617658654</v>
      </c>
      <c r="BQ85" s="11">
        <f t="shared" ca="1" si="25"/>
        <v>339457.30617658654</v>
      </c>
    </row>
    <row r="88" spans="1:69">
      <c r="B88" s="25" t="s">
        <v>271</v>
      </c>
    </row>
  </sheetData>
  <conditionalFormatting sqref="F2:F3">
    <cfRule type="cellIs" dxfId="224" priority="1" stopIfTrue="1" operator="notEqual">
      <formula>0</formula>
    </cfRule>
    <cfRule type="cellIs" dxfId="223" priority="2" stopIfTrue="1" operator="equal">
      <formula>""</formula>
    </cfRule>
  </conditionalFormatting>
  <conditionalFormatting sqref="J3:BQ3">
    <cfRule type="cellIs" dxfId="222" priority="8" operator="equal">
      <formula>"PPA ext."</formula>
    </cfRule>
    <cfRule type="cellIs" dxfId="221" priority="9" operator="equal">
      <formula>"Delay"</formula>
    </cfRule>
    <cfRule type="cellIs" dxfId="220" priority="10" operator="equal">
      <formula>"Fin Close"</formula>
    </cfRule>
    <cfRule type="cellIs" dxfId="219" priority="11" stopIfTrue="1" operator="equal">
      <formula>"Construction"</formula>
    </cfRule>
    <cfRule type="cellIs" dxfId="21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1:BQ3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31.5546875" style="47" bestFit="1" customWidth="1"/>
    <col min="6" max="6" width="20.5546875" style="47" bestFit="1" customWidth="1"/>
    <col min="7" max="7" width="13.21875" style="47" bestFit="1" customWidth="1"/>
    <col min="8" max="8" width="13.8867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44" width="12.44140625" style="47" bestFit="1" customWidth="1"/>
    <col min="45"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Assets</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176</v>
      </c>
    </row>
    <row r="9" spans="1:69" outlineLevel="1">
      <c r="A9" s="18"/>
      <c r="B9" s="18"/>
      <c r="C9" s="28"/>
      <c r="D9" s="27"/>
      <c r="E9" s="4" t="str">
        <f xml:space="preserve">  InpC!E$35</f>
        <v>Supplier price per unit</v>
      </c>
      <c r="F9" s="4">
        <f xml:space="preserve">  InpC!F$35</f>
        <v>35</v>
      </c>
      <c r="G9" s="4" t="str">
        <f xml:space="preserve">  InpC!G$35</f>
        <v>GBP</v>
      </c>
      <c r="M9" s="2"/>
    </row>
    <row r="10" spans="1:69" outlineLevel="1">
      <c r="A10" s="18"/>
      <c r="B10" s="18"/>
      <c r="C10" s="28"/>
      <c r="D10" s="27"/>
      <c r="E10" s="4" t="str">
        <f xml:space="preserve">  InpC!E$40</f>
        <v>Depreciation Term</v>
      </c>
      <c r="F10" s="4">
        <f xml:space="preserve">  InpC!F$40</f>
        <v>24</v>
      </c>
      <c r="G10" s="4" t="str">
        <f xml:space="preserve">  InpC!G$40</f>
        <v>Months</v>
      </c>
      <c r="M10" s="2"/>
    </row>
    <row r="11" spans="1:69" outlineLevel="1">
      <c r="E11" s="2" t="str">
        <f t="shared" ref="E11:BQ11" si="0" xml:space="preserve">  E$20</f>
        <v>Inventory BEG</v>
      </c>
      <c r="F11" s="2">
        <f t="shared" si="0"/>
        <v>0</v>
      </c>
      <c r="G11" s="2" t="str">
        <f t="shared" si="0"/>
        <v>GBP</v>
      </c>
      <c r="H11" s="2">
        <f t="shared" si="0"/>
        <v>0</v>
      </c>
      <c r="I11" s="2">
        <f t="shared" si="0"/>
        <v>0</v>
      </c>
      <c r="J11" s="2">
        <f t="shared" si="0"/>
        <v>0</v>
      </c>
      <c r="K11" s="2">
        <f t="shared" ca="1" si="0"/>
        <v>0</v>
      </c>
      <c r="L11" s="2">
        <f t="shared" ca="1" si="0"/>
        <v>0</v>
      </c>
      <c r="M11" s="2">
        <f t="shared" ca="1" si="0"/>
        <v>350000</v>
      </c>
      <c r="N11" s="2">
        <f t="shared" ca="1" si="0"/>
        <v>700000</v>
      </c>
      <c r="O11" s="2">
        <f t="shared" ca="1" si="0"/>
        <v>1050000</v>
      </c>
      <c r="P11" s="2">
        <f t="shared" ca="1" si="0"/>
        <v>1050000</v>
      </c>
      <c r="Q11" s="2">
        <f t="shared" ca="1" si="0"/>
        <v>1400000</v>
      </c>
      <c r="R11" s="2">
        <f t="shared" ca="1" si="0"/>
        <v>1400000</v>
      </c>
      <c r="S11" s="2">
        <f t="shared" ca="1" si="0"/>
        <v>1750000</v>
      </c>
      <c r="T11" s="2">
        <f t="shared" ca="1" si="0"/>
        <v>1750000</v>
      </c>
      <c r="U11" s="2">
        <f t="shared" ca="1" si="0"/>
        <v>1750000</v>
      </c>
      <c r="V11" s="2">
        <f t="shared" ca="1" si="0"/>
        <v>1750000</v>
      </c>
      <c r="W11" s="2">
        <f t="shared" ca="1" si="0"/>
        <v>1750000</v>
      </c>
      <c r="X11" s="2">
        <f t="shared" ca="1" si="0"/>
        <v>1750000</v>
      </c>
      <c r="Y11" s="2">
        <f t="shared" ca="1" si="0"/>
        <v>1925000</v>
      </c>
      <c r="Z11" s="2">
        <f t="shared" ca="1" si="0"/>
        <v>2100000</v>
      </c>
      <c r="AA11" s="2">
        <f t="shared" ca="1" si="0"/>
        <v>2275000</v>
      </c>
      <c r="AB11" s="2">
        <f t="shared" ca="1" si="0"/>
        <v>2625000</v>
      </c>
      <c r="AC11" s="2">
        <f t="shared" ca="1" si="0"/>
        <v>2800000</v>
      </c>
      <c r="AD11" s="2">
        <f t="shared" ca="1" si="0"/>
        <v>3150000</v>
      </c>
      <c r="AE11" s="2">
        <f t="shared" ca="1" si="0"/>
        <v>3325000</v>
      </c>
      <c r="AF11" s="2">
        <f t="shared" ca="1" si="0"/>
        <v>3675000</v>
      </c>
      <c r="AG11" s="2">
        <f t="shared" ca="1" si="0"/>
        <v>4025000</v>
      </c>
      <c r="AH11" s="2">
        <f t="shared" ca="1" si="0"/>
        <v>4375000</v>
      </c>
      <c r="AI11" s="2">
        <f t="shared" ca="1" si="0"/>
        <v>4690000</v>
      </c>
      <c r="AJ11" s="2">
        <f t="shared" ca="1" si="0"/>
        <v>5180000</v>
      </c>
      <c r="AK11" s="2">
        <f t="shared" ca="1" si="0"/>
        <v>5495000</v>
      </c>
      <c r="AL11" s="2">
        <f t="shared" ca="1" si="0"/>
        <v>5985000</v>
      </c>
      <c r="AM11" s="2">
        <f t="shared" ca="1" si="0"/>
        <v>6405000</v>
      </c>
      <c r="AN11" s="2">
        <f t="shared" ca="1" si="0"/>
        <v>7000000</v>
      </c>
      <c r="AO11" s="2">
        <f t="shared" ca="1" si="0"/>
        <v>7420000</v>
      </c>
      <c r="AP11" s="2">
        <f t="shared" ca="1" si="0"/>
        <v>7945000</v>
      </c>
      <c r="AQ11" s="2">
        <f t="shared" ca="1" si="0"/>
        <v>8645000</v>
      </c>
      <c r="AR11" s="2">
        <f t="shared" ca="1" si="0"/>
        <v>9170000</v>
      </c>
      <c r="AS11" s="2">
        <f t="shared" ca="1" si="0"/>
        <v>9870000</v>
      </c>
      <c r="AT11" s="2">
        <f t="shared" ca="1" si="0"/>
        <v>10570000</v>
      </c>
      <c r="AU11" s="2">
        <f t="shared" ca="1" si="0"/>
        <v>11259593.958487123</v>
      </c>
      <c r="AV11" s="2">
        <f t="shared" ca="1" si="0"/>
        <v>11938163.100032983</v>
      </c>
      <c r="AW11" s="2">
        <f t="shared" ca="1" si="0"/>
        <v>12780051.854907507</v>
      </c>
      <c r="AX11" s="2">
        <f t="shared" ca="1" si="0"/>
        <v>13609565.671175905</v>
      </c>
      <c r="AY11" s="2">
        <f t="shared" ca="1" si="0"/>
        <v>14600968.696696149</v>
      </c>
      <c r="AZ11" s="2">
        <f t="shared" ca="1" si="0"/>
        <v>15578481.323280858</v>
      </c>
      <c r="BA11" s="2">
        <f t="shared" ca="1" si="0"/>
        <v>16541277.584827438</v>
      </c>
      <c r="BB11" s="2">
        <f t="shared" ca="1" si="0"/>
        <v>17663482.400733002</v>
      </c>
      <c r="BC11" s="2">
        <f t="shared" ca="1" si="0"/>
        <v>18769168.6553942</v>
      </c>
      <c r="BD11" s="2">
        <f t="shared" ca="1" si="0"/>
        <v>20032354.104045082</v>
      </c>
      <c r="BE11" s="2">
        <f t="shared" ca="1" si="0"/>
        <v>21276998.094606489</v>
      </c>
      <c r="BF11" s="2">
        <f t="shared" ca="1" si="0"/>
        <v>22676998.094606489</v>
      </c>
      <c r="BG11" s="2">
        <f t="shared" ca="1" si="0"/>
        <v>24024686.011580735</v>
      </c>
      <c r="BH11" s="2">
        <f t="shared" ca="1" si="0"/>
        <v>25525324.294672456</v>
      </c>
      <c r="BI11" s="2">
        <f t="shared" ca="1" si="0"/>
        <v>27177601.804421503</v>
      </c>
      <c r="BJ11" s="2">
        <f t="shared" ca="1" si="0"/>
        <v>28805129.436958298</v>
      </c>
      <c r="BK11" s="2">
        <f t="shared" ca="1" si="0"/>
        <v>30518435.487998787</v>
      </c>
      <c r="BL11" s="2">
        <f t="shared" ca="1" si="0"/>
        <v>32378960.741168205</v>
      </c>
      <c r="BM11" s="2">
        <f t="shared" ca="1" si="0"/>
        <v>34385053.264261365</v>
      </c>
      <c r="BN11" s="2">
        <f t="shared" ca="1" si="0"/>
        <v>36296962.896072492</v>
      </c>
      <c r="BO11" s="2">
        <f t="shared" ca="1" si="0"/>
        <v>38525835.405394889</v>
      </c>
      <c r="BP11" s="2">
        <f t="shared" ca="1" si="0"/>
        <v>40719706.302696653</v>
      </c>
      <c r="BQ11" s="2">
        <f t="shared" ca="1" si="0"/>
        <v>43226494.283819467</v>
      </c>
    </row>
    <row r="12" spans="1:69" outlineLevel="1">
      <c r="A12" s="18"/>
      <c r="B12" s="18"/>
      <c r="C12" s="28"/>
      <c r="D12" s="27"/>
      <c r="E12" s="4" t="str">
        <f xml:space="preserve">  Inventory!E$50</f>
        <v>Units on order</v>
      </c>
      <c r="F12" s="4">
        <f xml:space="preserve">  Inventory!F$50</f>
        <v>0</v>
      </c>
      <c r="G12" s="4" t="str">
        <f xml:space="preserve">  Inventory!G$50</f>
        <v>Units</v>
      </c>
      <c r="H12" s="4">
        <f xml:space="preserve">  Inventory!H$50</f>
        <v>0</v>
      </c>
      <c r="I12" s="4">
        <f xml:space="preserve">  Inventory!I$50</f>
        <v>0</v>
      </c>
      <c r="J12" s="4">
        <f ca="1" xml:space="preserve">  Inventory!J$50</f>
        <v>0</v>
      </c>
      <c r="K12" s="4">
        <f ca="1" xml:space="preserve">  Inventory!K$50</f>
        <v>-5000</v>
      </c>
      <c r="L12" s="4">
        <f ca="1" xml:space="preserve">  Inventory!L$50</f>
        <v>5000</v>
      </c>
      <c r="M12" s="4">
        <f ca="1" xml:space="preserve">  Inventory!M$50</f>
        <v>15000</v>
      </c>
      <c r="N12" s="4">
        <f ca="1" xml:space="preserve">  Inventory!N$50</f>
        <v>25000</v>
      </c>
      <c r="O12" s="4">
        <f ca="1" xml:space="preserve">  Inventory!O$50</f>
        <v>15000</v>
      </c>
      <c r="P12" s="4">
        <f ca="1" xml:space="preserve">  Inventory!P$50</f>
        <v>25000</v>
      </c>
      <c r="Q12" s="4">
        <f ca="1" xml:space="preserve">  Inventory!Q$50</f>
        <v>25000</v>
      </c>
      <c r="R12" s="4">
        <f ca="1" xml:space="preserve">  Inventory!R$50</f>
        <v>35000</v>
      </c>
      <c r="S12" s="4">
        <f ca="1" xml:space="preserve">  Inventory!S$50</f>
        <v>25000</v>
      </c>
      <c r="T12" s="4">
        <f ca="1" xml:space="preserve">  Inventory!T$50</f>
        <v>25000</v>
      </c>
      <c r="U12" s="4">
        <f ca="1" xml:space="preserve">  Inventory!U$50</f>
        <v>15000</v>
      </c>
      <c r="V12" s="4">
        <f ca="1" xml:space="preserve">  Inventory!V$50</f>
        <v>5000</v>
      </c>
      <c r="W12" s="4">
        <f ca="1" xml:space="preserve">  Inventory!W$50</f>
        <v>5000</v>
      </c>
      <c r="X12" s="4">
        <f ca="1" xml:space="preserve">  Inventory!X$50</f>
        <v>0</v>
      </c>
      <c r="Y12" s="4">
        <f ca="1" xml:space="preserve">  Inventory!Y$50</f>
        <v>5000</v>
      </c>
      <c r="Z12" s="4">
        <f ca="1" xml:space="preserve">  Inventory!Z$50</f>
        <v>10000</v>
      </c>
      <c r="AA12" s="4">
        <f ca="1" xml:space="preserve">  Inventory!AA$50</f>
        <v>20000</v>
      </c>
      <c r="AB12" s="4">
        <f ca="1" xml:space="preserve">  Inventory!AB$50</f>
        <v>25000</v>
      </c>
      <c r="AC12" s="4">
        <f ca="1" xml:space="preserve">  Inventory!AC$50</f>
        <v>35000</v>
      </c>
      <c r="AD12" s="4">
        <f ca="1" xml:space="preserve">  Inventory!AD$50</f>
        <v>35000</v>
      </c>
      <c r="AE12" s="4">
        <f ca="1" xml:space="preserve">  Inventory!AE$50</f>
        <v>40000</v>
      </c>
      <c r="AF12" s="4">
        <f ca="1" xml:space="preserve">  Inventory!AF$50</f>
        <v>45000</v>
      </c>
      <c r="AG12" s="4">
        <f ca="1" xml:space="preserve">  Inventory!AG$50</f>
        <v>45000</v>
      </c>
      <c r="AH12" s="4">
        <f ca="1" xml:space="preserve">  Inventory!AH$50</f>
        <v>50000</v>
      </c>
      <c r="AI12" s="4">
        <f ca="1" xml:space="preserve">  Inventory!AI$50</f>
        <v>55000</v>
      </c>
      <c r="AJ12" s="4">
        <f ca="1" xml:space="preserve">  Inventory!AJ$50</f>
        <v>60000</v>
      </c>
      <c r="AK12" s="4">
        <f ca="1" xml:space="preserve">  Inventory!AK$50</f>
        <v>65000</v>
      </c>
      <c r="AL12" s="4">
        <f ca="1" xml:space="preserve">  Inventory!AL$50</f>
        <v>70000</v>
      </c>
      <c r="AM12" s="4">
        <f ca="1" xml:space="preserve">  Inventory!AM$50</f>
        <v>80000</v>
      </c>
      <c r="AN12" s="4">
        <f ca="1" xml:space="preserve">  Inventory!AN$50</f>
        <v>85000</v>
      </c>
      <c r="AO12" s="4">
        <f ca="1" xml:space="preserve">  Inventory!AO$50</f>
        <v>90000</v>
      </c>
      <c r="AP12" s="4">
        <f ca="1" xml:space="preserve">  Inventory!AP$50</f>
        <v>105000</v>
      </c>
      <c r="AQ12" s="4">
        <f ca="1" xml:space="preserve">  Inventory!AQ$50</f>
        <v>110000</v>
      </c>
      <c r="AR12" s="4">
        <f ca="1" xml:space="preserve">  Inventory!AR$50</f>
        <v>120000</v>
      </c>
      <c r="AS12" s="4">
        <f ca="1" xml:space="preserve">  Inventory!AS$50</f>
        <v>125000</v>
      </c>
      <c r="AT12" s="4">
        <f ca="1" xml:space="preserve">  Inventory!AT$50</f>
        <v>135000</v>
      </c>
      <c r="AU12" s="4">
        <f ca="1" xml:space="preserve">  Inventory!AU$50</f>
        <v>140000</v>
      </c>
      <c r="AV12" s="4">
        <f ca="1" xml:space="preserve">  Inventory!AV$50</f>
        <v>145000</v>
      </c>
      <c r="AW12" s="4">
        <f ca="1" xml:space="preserve">  Inventory!AW$50</f>
        <v>155000</v>
      </c>
      <c r="AX12" s="4">
        <f ca="1" xml:space="preserve">  Inventory!AX$50</f>
        <v>165000</v>
      </c>
      <c r="AY12" s="4">
        <f ca="1" xml:space="preserve">  Inventory!AY$50</f>
        <v>175000</v>
      </c>
      <c r="AZ12" s="4">
        <f ca="1" xml:space="preserve">  Inventory!AZ$50</f>
        <v>185000</v>
      </c>
      <c r="BA12" s="4">
        <f ca="1" xml:space="preserve">  Inventory!BA$50</f>
        <v>200000</v>
      </c>
      <c r="BB12" s="4">
        <f ca="1" xml:space="preserve">  Inventory!BB$50</f>
        <v>210000</v>
      </c>
      <c r="BC12" s="4">
        <f ca="1" xml:space="preserve">  Inventory!BC$50</f>
        <v>225000</v>
      </c>
      <c r="BD12" s="4">
        <f ca="1" xml:space="preserve">  Inventory!BD$50</f>
        <v>235000</v>
      </c>
      <c r="BE12" s="4">
        <f ca="1" xml:space="preserve">  Inventory!BE$50</f>
        <v>250000</v>
      </c>
      <c r="BF12" s="4">
        <f ca="1" xml:space="preserve">  Inventory!BF$50</f>
        <v>265000</v>
      </c>
      <c r="BG12" s="4">
        <f ca="1" xml:space="preserve">  Inventory!BG$50</f>
        <v>280000</v>
      </c>
      <c r="BH12" s="4">
        <f ca="1" xml:space="preserve">  Inventory!BH$50</f>
        <v>300000</v>
      </c>
      <c r="BI12" s="4">
        <f ca="1" xml:space="preserve">  Inventory!BI$50</f>
        <v>315000</v>
      </c>
      <c r="BJ12" s="4">
        <f ca="1" xml:space="preserve">  Inventory!BJ$50</f>
        <v>335000</v>
      </c>
      <c r="BK12" s="4">
        <f ca="1" xml:space="preserve">  Inventory!BK$50</f>
        <v>355000</v>
      </c>
      <c r="BL12" s="4">
        <f ca="1" xml:space="preserve">  Inventory!BL$50</f>
        <v>380000</v>
      </c>
      <c r="BM12" s="4">
        <f ca="1" xml:space="preserve">  Inventory!BM$50</f>
        <v>400000</v>
      </c>
      <c r="BN12" s="4">
        <f ca="1" xml:space="preserve">  Inventory!BN$50</f>
        <v>425000</v>
      </c>
      <c r="BO12" s="4">
        <f ca="1" xml:space="preserve">  Inventory!BO$50</f>
        <v>450000</v>
      </c>
      <c r="BP12" s="4">
        <f ca="1" xml:space="preserve">  Inventory!BP$50</f>
        <v>480000</v>
      </c>
      <c r="BQ12" s="4">
        <f ca="1" xml:space="preserve">  Inventory!BQ$50</f>
        <v>510000</v>
      </c>
    </row>
    <row r="13" spans="1:69" outlineLevel="1">
      <c r="E13" s="47" t="s">
        <v>21</v>
      </c>
      <c r="G13" s="47" t="s">
        <v>257</v>
      </c>
      <c r="H13" s="2">
        <f t="shared" ref="H13:H14" ca="1" si="1" xml:space="preserve"> SUM( J13:BQ13 )</f>
        <v>16926512.227826584</v>
      </c>
      <c r="J13" s="2">
        <f t="shared" ref="J13:BQ13" ca="1" si="2" xml:space="preserve">  ( J11 - ( J12 * $F9 ) ) / $F10</f>
        <v>0</v>
      </c>
      <c r="K13" s="2">
        <f t="shared" ca="1" si="2"/>
        <v>7291.666666666667</v>
      </c>
      <c r="L13" s="2">
        <f t="shared" ca="1" si="2"/>
        <v>-7291.666666666667</v>
      </c>
      <c r="M13" s="2">
        <f t="shared" ca="1" si="2"/>
        <v>-7291.666666666667</v>
      </c>
      <c r="N13" s="2">
        <f t="shared" ca="1" si="2"/>
        <v>-7291.666666666667</v>
      </c>
      <c r="O13" s="2">
        <f t="shared" ca="1" si="2"/>
        <v>21875</v>
      </c>
      <c r="P13" s="2">
        <f t="shared" ca="1" si="2"/>
        <v>7291.666666666667</v>
      </c>
      <c r="Q13" s="2">
        <f t="shared" ca="1" si="2"/>
        <v>21875</v>
      </c>
      <c r="R13" s="2">
        <f t="shared" ca="1" si="2"/>
        <v>7291.666666666667</v>
      </c>
      <c r="S13" s="2">
        <f t="shared" ca="1" si="2"/>
        <v>36458.333333333336</v>
      </c>
      <c r="T13" s="2">
        <f t="shared" ca="1" si="2"/>
        <v>36458.333333333336</v>
      </c>
      <c r="U13" s="2">
        <f t="shared" ca="1" si="2"/>
        <v>51041.666666666664</v>
      </c>
      <c r="V13" s="2">
        <f t="shared" ca="1" si="2"/>
        <v>65625</v>
      </c>
      <c r="W13" s="2">
        <f t="shared" ca="1" si="2"/>
        <v>65625</v>
      </c>
      <c r="X13" s="2">
        <f t="shared" ca="1" si="2"/>
        <v>72916.666666666672</v>
      </c>
      <c r="Y13" s="2">
        <f t="shared" ca="1" si="2"/>
        <v>72916.666666666672</v>
      </c>
      <c r="Z13" s="2">
        <f t="shared" ca="1" si="2"/>
        <v>72916.666666666672</v>
      </c>
      <c r="AA13" s="2">
        <f t="shared" ca="1" si="2"/>
        <v>65625</v>
      </c>
      <c r="AB13" s="2">
        <f t="shared" ca="1" si="2"/>
        <v>72916.666666666672</v>
      </c>
      <c r="AC13" s="2">
        <f t="shared" ca="1" si="2"/>
        <v>65625</v>
      </c>
      <c r="AD13" s="2">
        <f t="shared" ca="1" si="2"/>
        <v>80208.333333333328</v>
      </c>
      <c r="AE13" s="2">
        <f t="shared" ca="1" si="2"/>
        <v>80208.333333333328</v>
      </c>
      <c r="AF13" s="2">
        <f t="shared" ca="1" si="2"/>
        <v>87500</v>
      </c>
      <c r="AG13" s="2">
        <f t="shared" ca="1" si="2"/>
        <v>102083.33333333333</v>
      </c>
      <c r="AH13" s="2">
        <f t="shared" ca="1" si="2"/>
        <v>109375</v>
      </c>
      <c r="AI13" s="2">
        <f t="shared" ca="1" si="2"/>
        <v>115208.33333333333</v>
      </c>
      <c r="AJ13" s="2">
        <f t="shared" ca="1" si="2"/>
        <v>128333.33333333333</v>
      </c>
      <c r="AK13" s="2">
        <f t="shared" ca="1" si="2"/>
        <v>134166.66666666666</v>
      </c>
      <c r="AL13" s="2">
        <f t="shared" ca="1" si="2"/>
        <v>147291.66666666666</v>
      </c>
      <c r="AM13" s="2">
        <f t="shared" ca="1" si="2"/>
        <v>150208.33333333334</v>
      </c>
      <c r="AN13" s="2">
        <f t="shared" ca="1" si="2"/>
        <v>167708.33333333334</v>
      </c>
      <c r="AO13" s="2">
        <f t="shared" ca="1" si="2"/>
        <v>177916.66666666666</v>
      </c>
      <c r="AP13" s="2">
        <f t="shared" ca="1" si="2"/>
        <v>177916.66666666666</v>
      </c>
      <c r="AQ13" s="2">
        <f t="shared" ca="1" si="2"/>
        <v>199791.66666666666</v>
      </c>
      <c r="AR13" s="2">
        <f t="shared" ca="1" si="2"/>
        <v>207083.33333333334</v>
      </c>
      <c r="AS13" s="2">
        <f t="shared" ca="1" si="2"/>
        <v>228958.33333333334</v>
      </c>
      <c r="AT13" s="2">
        <f t="shared" ca="1" si="2"/>
        <v>243541.66666666666</v>
      </c>
      <c r="AU13" s="2">
        <f t="shared" ca="1" si="2"/>
        <v>264983.08160363015</v>
      </c>
      <c r="AV13" s="2">
        <f t="shared" ca="1" si="2"/>
        <v>285965.12916804099</v>
      </c>
      <c r="AW13" s="2">
        <f t="shared" ca="1" si="2"/>
        <v>306460.49395447946</v>
      </c>
      <c r="AX13" s="2">
        <f t="shared" ca="1" si="2"/>
        <v>326440.23629899602</v>
      </c>
      <c r="AY13" s="2">
        <f t="shared" ca="1" si="2"/>
        <v>353165.36236233957</v>
      </c>
      <c r="AZ13" s="2">
        <f t="shared" ca="1" si="2"/>
        <v>379311.72180336906</v>
      </c>
      <c r="BA13" s="2">
        <f t="shared" ca="1" si="2"/>
        <v>397553.23270114325</v>
      </c>
      <c r="BB13" s="2">
        <f t="shared" ca="1" si="2"/>
        <v>429728.43336387508</v>
      </c>
      <c r="BC13" s="2">
        <f t="shared" ca="1" si="2"/>
        <v>453923.69397475832</v>
      </c>
      <c r="BD13" s="2">
        <f t="shared" ca="1" si="2"/>
        <v>491973.08766854508</v>
      </c>
      <c r="BE13" s="2">
        <f t="shared" ca="1" si="2"/>
        <v>521958.25394193706</v>
      </c>
      <c r="BF13" s="2">
        <f t="shared" ca="1" si="2"/>
        <v>558416.58727527037</v>
      </c>
      <c r="BG13" s="2">
        <f t="shared" ca="1" si="2"/>
        <v>592695.25048253068</v>
      </c>
      <c r="BH13" s="2">
        <f t="shared" ca="1" si="2"/>
        <v>626055.17894468561</v>
      </c>
      <c r="BI13" s="2">
        <f t="shared" ca="1" si="2"/>
        <v>673025.0751842293</v>
      </c>
      <c r="BJ13" s="2">
        <f t="shared" ca="1" si="2"/>
        <v>711672.05987326242</v>
      </c>
      <c r="BK13" s="2">
        <f t="shared" ca="1" si="2"/>
        <v>753893.14533328277</v>
      </c>
      <c r="BL13" s="2">
        <f t="shared" ca="1" si="2"/>
        <v>794956.69754867523</v>
      </c>
      <c r="BM13" s="2">
        <f t="shared" ca="1" si="2"/>
        <v>849377.2193442235</v>
      </c>
      <c r="BN13" s="2">
        <f t="shared" ca="1" si="2"/>
        <v>892581.78733635379</v>
      </c>
      <c r="BO13" s="2">
        <f t="shared" ca="1" si="2"/>
        <v>948993.14189145376</v>
      </c>
      <c r="BP13" s="2">
        <f t="shared" ca="1" si="2"/>
        <v>996654.42927902716</v>
      </c>
      <c r="BQ13" s="2">
        <f t="shared" ca="1" si="2"/>
        <v>1057353.9284924779</v>
      </c>
    </row>
    <row r="14" spans="1:69" outlineLevel="1">
      <c r="A14" s="34"/>
      <c r="B14" s="34"/>
      <c r="C14" s="64"/>
      <c r="D14" s="65"/>
      <c r="E14" s="21" t="str">
        <f xml:space="preserve"> LEFT($E$13, LEN($E$13) - 3 )</f>
        <v xml:space="preserve">Depreciation this period </v>
      </c>
      <c r="F14" s="21"/>
      <c r="G14" s="21" t="str">
        <f xml:space="preserve"> G$13</f>
        <v>GBP</v>
      </c>
      <c r="H14" s="3">
        <f t="shared" ca="1" si="1"/>
        <v>-16926512.227826584</v>
      </c>
      <c r="I14" s="21"/>
      <c r="J14" s="3">
        <f t="shared" ref="J14:BQ14" ca="1" si="3" xml:space="preserve"> -1 * J13</f>
        <v>0</v>
      </c>
      <c r="K14" s="3">
        <f t="shared" ca="1" si="3"/>
        <v>-7291.666666666667</v>
      </c>
      <c r="L14" s="3">
        <f t="shared" ca="1" si="3"/>
        <v>7291.666666666667</v>
      </c>
      <c r="M14" s="3">
        <f t="shared" ca="1" si="3"/>
        <v>7291.666666666667</v>
      </c>
      <c r="N14" s="3">
        <f t="shared" ca="1" si="3"/>
        <v>7291.666666666667</v>
      </c>
      <c r="O14" s="3">
        <f t="shared" ca="1" si="3"/>
        <v>-21875</v>
      </c>
      <c r="P14" s="3">
        <f t="shared" ca="1" si="3"/>
        <v>-7291.666666666667</v>
      </c>
      <c r="Q14" s="3">
        <f t="shared" ca="1" si="3"/>
        <v>-21875</v>
      </c>
      <c r="R14" s="3">
        <f t="shared" ca="1" si="3"/>
        <v>-7291.666666666667</v>
      </c>
      <c r="S14" s="3">
        <f t="shared" ca="1" si="3"/>
        <v>-36458.333333333336</v>
      </c>
      <c r="T14" s="3">
        <f t="shared" ca="1" si="3"/>
        <v>-36458.333333333336</v>
      </c>
      <c r="U14" s="3">
        <f t="shared" ca="1" si="3"/>
        <v>-51041.666666666664</v>
      </c>
      <c r="V14" s="3">
        <f t="shared" ca="1" si="3"/>
        <v>-65625</v>
      </c>
      <c r="W14" s="3">
        <f t="shared" ca="1" si="3"/>
        <v>-65625</v>
      </c>
      <c r="X14" s="3">
        <f t="shared" ca="1" si="3"/>
        <v>-72916.666666666672</v>
      </c>
      <c r="Y14" s="3">
        <f t="shared" ca="1" si="3"/>
        <v>-72916.666666666672</v>
      </c>
      <c r="Z14" s="3">
        <f t="shared" ca="1" si="3"/>
        <v>-72916.666666666672</v>
      </c>
      <c r="AA14" s="3">
        <f t="shared" ca="1" si="3"/>
        <v>-65625</v>
      </c>
      <c r="AB14" s="3">
        <f t="shared" ca="1" si="3"/>
        <v>-72916.666666666672</v>
      </c>
      <c r="AC14" s="3">
        <f t="shared" ca="1" si="3"/>
        <v>-65625</v>
      </c>
      <c r="AD14" s="3">
        <f t="shared" ca="1" si="3"/>
        <v>-80208.333333333328</v>
      </c>
      <c r="AE14" s="3">
        <f t="shared" ca="1" si="3"/>
        <v>-80208.333333333328</v>
      </c>
      <c r="AF14" s="3">
        <f t="shared" ca="1" si="3"/>
        <v>-87500</v>
      </c>
      <c r="AG14" s="3">
        <f t="shared" ca="1" si="3"/>
        <v>-102083.33333333333</v>
      </c>
      <c r="AH14" s="3">
        <f t="shared" ca="1" si="3"/>
        <v>-109375</v>
      </c>
      <c r="AI14" s="3">
        <f t="shared" ca="1" si="3"/>
        <v>-115208.33333333333</v>
      </c>
      <c r="AJ14" s="3">
        <f t="shared" ca="1" si="3"/>
        <v>-128333.33333333333</v>
      </c>
      <c r="AK14" s="3">
        <f t="shared" ca="1" si="3"/>
        <v>-134166.66666666666</v>
      </c>
      <c r="AL14" s="3">
        <f t="shared" ca="1" si="3"/>
        <v>-147291.66666666666</v>
      </c>
      <c r="AM14" s="3">
        <f t="shared" ca="1" si="3"/>
        <v>-150208.33333333334</v>
      </c>
      <c r="AN14" s="3">
        <f t="shared" ca="1" si="3"/>
        <v>-167708.33333333334</v>
      </c>
      <c r="AO14" s="3">
        <f t="shared" ca="1" si="3"/>
        <v>-177916.66666666666</v>
      </c>
      <c r="AP14" s="3">
        <f t="shared" ca="1" si="3"/>
        <v>-177916.66666666666</v>
      </c>
      <c r="AQ14" s="3">
        <f t="shared" ca="1" si="3"/>
        <v>-199791.66666666666</v>
      </c>
      <c r="AR14" s="3">
        <f t="shared" ca="1" si="3"/>
        <v>-207083.33333333334</v>
      </c>
      <c r="AS14" s="3">
        <f t="shared" ca="1" si="3"/>
        <v>-228958.33333333334</v>
      </c>
      <c r="AT14" s="3">
        <f t="shared" ca="1" si="3"/>
        <v>-243541.66666666666</v>
      </c>
      <c r="AU14" s="3">
        <f t="shared" ca="1" si="3"/>
        <v>-264983.08160363015</v>
      </c>
      <c r="AV14" s="3">
        <f t="shared" ca="1" si="3"/>
        <v>-285965.12916804099</v>
      </c>
      <c r="AW14" s="3">
        <f t="shared" ca="1" si="3"/>
        <v>-306460.49395447946</v>
      </c>
      <c r="AX14" s="3">
        <f t="shared" ca="1" si="3"/>
        <v>-326440.23629899602</v>
      </c>
      <c r="AY14" s="3">
        <f t="shared" ca="1" si="3"/>
        <v>-353165.36236233957</v>
      </c>
      <c r="AZ14" s="3">
        <f t="shared" ca="1" si="3"/>
        <v>-379311.72180336906</v>
      </c>
      <c r="BA14" s="3">
        <f t="shared" ca="1" si="3"/>
        <v>-397553.23270114325</v>
      </c>
      <c r="BB14" s="3">
        <f t="shared" ca="1" si="3"/>
        <v>-429728.43336387508</v>
      </c>
      <c r="BC14" s="3">
        <f t="shared" ca="1" si="3"/>
        <v>-453923.69397475832</v>
      </c>
      <c r="BD14" s="3">
        <f t="shared" ca="1" si="3"/>
        <v>-491973.08766854508</v>
      </c>
      <c r="BE14" s="3">
        <f t="shared" ca="1" si="3"/>
        <v>-521958.25394193706</v>
      </c>
      <c r="BF14" s="3">
        <f t="shared" ca="1" si="3"/>
        <v>-558416.58727527037</v>
      </c>
      <c r="BG14" s="3">
        <f t="shared" ca="1" si="3"/>
        <v>-592695.25048253068</v>
      </c>
      <c r="BH14" s="3">
        <f t="shared" ca="1" si="3"/>
        <v>-626055.17894468561</v>
      </c>
      <c r="BI14" s="3">
        <f t="shared" ca="1" si="3"/>
        <v>-673025.0751842293</v>
      </c>
      <c r="BJ14" s="3">
        <f t="shared" ca="1" si="3"/>
        <v>-711672.05987326242</v>
      </c>
      <c r="BK14" s="3">
        <f t="shared" ca="1" si="3"/>
        <v>-753893.14533328277</v>
      </c>
      <c r="BL14" s="3">
        <f t="shared" ca="1" si="3"/>
        <v>-794956.69754867523</v>
      </c>
      <c r="BM14" s="3">
        <f t="shared" ca="1" si="3"/>
        <v>-849377.2193442235</v>
      </c>
      <c r="BN14" s="3">
        <f t="shared" ca="1" si="3"/>
        <v>-892581.78733635379</v>
      </c>
      <c r="BO14" s="3">
        <f t="shared" ca="1" si="3"/>
        <v>-948993.14189145376</v>
      </c>
      <c r="BP14" s="3">
        <f t="shared" ca="1" si="3"/>
        <v>-996654.42927902716</v>
      </c>
      <c r="BQ14" s="3">
        <f t="shared" ca="1" si="3"/>
        <v>-1057353.9284924779</v>
      </c>
    </row>
    <row r="17" spans="1:69">
      <c r="B17" s="25" t="s">
        <v>109</v>
      </c>
    </row>
    <row r="18" spans="1:69" s="80" customFormat="1">
      <c r="A18" s="60"/>
      <c r="B18" s="60"/>
      <c r="C18" s="82"/>
      <c r="D18" s="85"/>
      <c r="E18" s="40" t="str">
        <f xml:space="preserve">  InpC!E$51</f>
        <v>Opening Inventory</v>
      </c>
      <c r="F18" s="40">
        <f xml:space="preserve">  InpC!F$51</f>
        <v>0</v>
      </c>
      <c r="G18" s="40" t="str">
        <f xml:space="preserve">  InpC!G$51</f>
        <v>GBP</v>
      </c>
      <c r="M18" s="87"/>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203</v>
      </c>
      <c r="G20" s="47" t="s">
        <v>257</v>
      </c>
      <c r="J20" s="2">
        <f t="shared" ref="J20:BQ20" si="4" xml:space="preserve">  I24</f>
        <v>0</v>
      </c>
      <c r="K20" s="2">
        <f t="shared" ca="1" si="4"/>
        <v>0</v>
      </c>
      <c r="L20" s="2">
        <f t="shared" ca="1" si="4"/>
        <v>0</v>
      </c>
      <c r="M20" s="2">
        <f t="shared" ca="1" si="4"/>
        <v>350000</v>
      </c>
      <c r="N20" s="2">
        <f t="shared" ca="1" si="4"/>
        <v>700000</v>
      </c>
      <c r="O20" s="2">
        <f t="shared" ca="1" si="4"/>
        <v>1050000</v>
      </c>
      <c r="P20" s="2">
        <f t="shared" ca="1" si="4"/>
        <v>1050000</v>
      </c>
      <c r="Q20" s="2">
        <f t="shared" ca="1" si="4"/>
        <v>1400000</v>
      </c>
      <c r="R20" s="2">
        <f t="shared" ca="1" si="4"/>
        <v>1400000</v>
      </c>
      <c r="S20" s="2">
        <f t="shared" ca="1" si="4"/>
        <v>1750000</v>
      </c>
      <c r="T20" s="2">
        <f t="shared" ca="1" si="4"/>
        <v>1750000</v>
      </c>
      <c r="U20" s="2">
        <f t="shared" ca="1" si="4"/>
        <v>1750000</v>
      </c>
      <c r="V20" s="2">
        <f t="shared" ca="1" si="4"/>
        <v>1750000</v>
      </c>
      <c r="W20" s="2">
        <f t="shared" ca="1" si="4"/>
        <v>1750000</v>
      </c>
      <c r="X20" s="2">
        <f t="shared" ca="1" si="4"/>
        <v>1750000</v>
      </c>
      <c r="Y20" s="2">
        <f t="shared" ca="1" si="4"/>
        <v>1925000</v>
      </c>
      <c r="Z20" s="2">
        <f t="shared" ca="1" si="4"/>
        <v>2100000</v>
      </c>
      <c r="AA20" s="2">
        <f t="shared" ca="1" si="4"/>
        <v>2275000</v>
      </c>
      <c r="AB20" s="2">
        <f t="shared" ca="1" si="4"/>
        <v>2625000</v>
      </c>
      <c r="AC20" s="2">
        <f t="shared" ca="1" si="4"/>
        <v>2800000</v>
      </c>
      <c r="AD20" s="2">
        <f t="shared" ca="1" si="4"/>
        <v>3150000</v>
      </c>
      <c r="AE20" s="2">
        <f t="shared" ca="1" si="4"/>
        <v>3325000</v>
      </c>
      <c r="AF20" s="2">
        <f t="shared" ca="1" si="4"/>
        <v>3675000</v>
      </c>
      <c r="AG20" s="2">
        <f t="shared" ca="1" si="4"/>
        <v>4025000</v>
      </c>
      <c r="AH20" s="2">
        <f t="shared" ca="1" si="4"/>
        <v>4375000</v>
      </c>
      <c r="AI20" s="2">
        <f t="shared" ca="1" si="4"/>
        <v>4690000</v>
      </c>
      <c r="AJ20" s="2">
        <f t="shared" ca="1" si="4"/>
        <v>5180000</v>
      </c>
      <c r="AK20" s="2">
        <f t="shared" ca="1" si="4"/>
        <v>5495000</v>
      </c>
      <c r="AL20" s="2">
        <f t="shared" ca="1" si="4"/>
        <v>5985000</v>
      </c>
      <c r="AM20" s="2">
        <f t="shared" ca="1" si="4"/>
        <v>6405000</v>
      </c>
      <c r="AN20" s="2">
        <f t="shared" ca="1" si="4"/>
        <v>7000000</v>
      </c>
      <c r="AO20" s="2">
        <f t="shared" ca="1" si="4"/>
        <v>7420000</v>
      </c>
      <c r="AP20" s="2">
        <f t="shared" ca="1" si="4"/>
        <v>7945000</v>
      </c>
      <c r="AQ20" s="2">
        <f t="shared" ca="1" si="4"/>
        <v>8645000</v>
      </c>
      <c r="AR20" s="2">
        <f t="shared" ca="1" si="4"/>
        <v>9170000</v>
      </c>
      <c r="AS20" s="2">
        <f t="shared" ca="1" si="4"/>
        <v>9870000</v>
      </c>
      <c r="AT20" s="2">
        <f t="shared" ca="1" si="4"/>
        <v>10570000</v>
      </c>
      <c r="AU20" s="2">
        <f t="shared" ca="1" si="4"/>
        <v>11259593.958487123</v>
      </c>
      <c r="AV20" s="2">
        <f t="shared" ca="1" si="4"/>
        <v>11938163.100032983</v>
      </c>
      <c r="AW20" s="2">
        <f t="shared" ca="1" si="4"/>
        <v>12780051.854907507</v>
      </c>
      <c r="AX20" s="2">
        <f t="shared" ca="1" si="4"/>
        <v>13609565.671175905</v>
      </c>
      <c r="AY20" s="2">
        <f t="shared" ca="1" si="4"/>
        <v>14600968.696696149</v>
      </c>
      <c r="AZ20" s="2">
        <f t="shared" ca="1" si="4"/>
        <v>15578481.323280858</v>
      </c>
      <c r="BA20" s="2">
        <f t="shared" ca="1" si="4"/>
        <v>16541277.584827438</v>
      </c>
      <c r="BB20" s="2">
        <f t="shared" ca="1" si="4"/>
        <v>17663482.400733002</v>
      </c>
      <c r="BC20" s="2">
        <f t="shared" ca="1" si="4"/>
        <v>18769168.6553942</v>
      </c>
      <c r="BD20" s="2">
        <f t="shared" ca="1" si="4"/>
        <v>20032354.104045082</v>
      </c>
      <c r="BE20" s="2">
        <f t="shared" ca="1" si="4"/>
        <v>21276998.094606489</v>
      </c>
      <c r="BF20" s="2">
        <f t="shared" ca="1" si="4"/>
        <v>22676998.094606489</v>
      </c>
      <c r="BG20" s="2">
        <f t="shared" ca="1" si="4"/>
        <v>24024686.011580735</v>
      </c>
      <c r="BH20" s="2">
        <f t="shared" ca="1" si="4"/>
        <v>25525324.294672456</v>
      </c>
      <c r="BI20" s="2">
        <f t="shared" ca="1" si="4"/>
        <v>27177601.804421503</v>
      </c>
      <c r="BJ20" s="2">
        <f t="shared" ca="1" si="4"/>
        <v>28805129.436958298</v>
      </c>
      <c r="BK20" s="2">
        <f t="shared" ca="1" si="4"/>
        <v>30518435.487998787</v>
      </c>
      <c r="BL20" s="2">
        <f t="shared" ca="1" si="4"/>
        <v>32378960.741168205</v>
      </c>
      <c r="BM20" s="2">
        <f t="shared" ca="1" si="4"/>
        <v>34385053.264261365</v>
      </c>
      <c r="BN20" s="2">
        <f t="shared" ca="1" si="4"/>
        <v>36296962.896072492</v>
      </c>
      <c r="BO20" s="2">
        <f t="shared" ca="1" si="4"/>
        <v>38525835.405394889</v>
      </c>
      <c r="BP20" s="2">
        <f t="shared" ca="1" si="4"/>
        <v>40719706.302696653</v>
      </c>
      <c r="BQ20" s="2">
        <f t="shared" ca="1" si="4"/>
        <v>43226494.283819467</v>
      </c>
    </row>
    <row r="21" spans="1:69">
      <c r="A21" s="18"/>
      <c r="B21" s="18"/>
      <c r="C21" s="28"/>
      <c r="D21" s="27" t="s">
        <v>220</v>
      </c>
      <c r="E21" s="4" t="str">
        <f xml:space="preserve">  Inventory!E$33</f>
        <v>Units ordered</v>
      </c>
      <c r="F21" s="4">
        <f xml:space="preserve">  Inventory!F$33</f>
        <v>0</v>
      </c>
      <c r="G21" s="4" t="str">
        <f xml:space="preserve">  Inventory!G$33</f>
        <v>Units</v>
      </c>
      <c r="H21" s="4">
        <f ca="1" xml:space="preserve">  Inventory!H$33</f>
        <v>1650000</v>
      </c>
      <c r="I21" s="4">
        <f xml:space="preserve">  Inventory!I$33</f>
        <v>0</v>
      </c>
      <c r="J21" s="4">
        <f xml:space="preserve">  Inventory!J$33</f>
        <v>0</v>
      </c>
      <c r="K21" s="4">
        <f xml:space="preserve">  Inventory!K$33</f>
        <v>0</v>
      </c>
      <c r="L21" s="4">
        <f xml:space="preserve">  Inventory!L$33</f>
        <v>10000</v>
      </c>
      <c r="M21" s="4">
        <f xml:space="preserve">  Inventory!M$33</f>
        <v>10000</v>
      </c>
      <c r="N21" s="4">
        <f xml:space="preserve">  Inventory!N$33</f>
        <v>10000</v>
      </c>
      <c r="O21" s="4">
        <f xml:space="preserve">  Inventory!O$33</f>
        <v>0</v>
      </c>
      <c r="P21" s="4">
        <f xml:space="preserve">  Inventory!P$33</f>
        <v>10000</v>
      </c>
      <c r="Q21" s="4">
        <f xml:space="preserve">  Inventory!Q$33</f>
        <v>0</v>
      </c>
      <c r="R21" s="4">
        <f xml:space="preserve">  Inventory!R$33</f>
        <v>10000</v>
      </c>
      <c r="S21" s="4">
        <f xml:space="preserve">  Inventory!S$33</f>
        <v>0</v>
      </c>
      <c r="T21" s="4">
        <f xml:space="preserve">  Inventory!T$33</f>
        <v>0</v>
      </c>
      <c r="U21" s="4">
        <f xml:space="preserve">  Inventory!U$33</f>
        <v>0</v>
      </c>
      <c r="V21" s="4">
        <f ca="1" xml:space="preserve">  Inventory!V$33</f>
        <v>0</v>
      </c>
      <c r="W21" s="4">
        <f ca="1" xml:space="preserve">  Inventory!W$33</f>
        <v>0</v>
      </c>
      <c r="X21" s="4">
        <f ca="1" xml:space="preserve">  Inventory!X$33</f>
        <v>5000</v>
      </c>
      <c r="Y21" s="4">
        <f ca="1" xml:space="preserve">  Inventory!Y$33</f>
        <v>5000</v>
      </c>
      <c r="Z21" s="4">
        <f ca="1" xml:space="preserve">  Inventory!Z$33</f>
        <v>5000</v>
      </c>
      <c r="AA21" s="4">
        <f ca="1" xml:space="preserve">  Inventory!AA$33</f>
        <v>10000</v>
      </c>
      <c r="AB21" s="4">
        <f ca="1" xml:space="preserve">  Inventory!AB$33</f>
        <v>5000</v>
      </c>
      <c r="AC21" s="4">
        <f ca="1" xml:space="preserve">  Inventory!AC$33</f>
        <v>10000</v>
      </c>
      <c r="AD21" s="4">
        <f ca="1" xml:space="preserve">  Inventory!AD$33</f>
        <v>5000</v>
      </c>
      <c r="AE21" s="4">
        <f ca="1" xml:space="preserve">  Inventory!AE$33</f>
        <v>10000</v>
      </c>
      <c r="AF21" s="4">
        <f ca="1" xml:space="preserve">  Inventory!AF$33</f>
        <v>10000</v>
      </c>
      <c r="AG21" s="4">
        <f ca="1" xml:space="preserve">  Inventory!AG$33</f>
        <v>10000</v>
      </c>
      <c r="AH21" s="4">
        <f ca="1" xml:space="preserve">  Inventory!AH$33</f>
        <v>10000</v>
      </c>
      <c r="AI21" s="4">
        <f ca="1" xml:space="preserve">  Inventory!AI$33</f>
        <v>15000</v>
      </c>
      <c r="AJ21" s="4">
        <f ca="1" xml:space="preserve">  Inventory!AJ$33</f>
        <v>10000</v>
      </c>
      <c r="AK21" s="4">
        <f ca="1" xml:space="preserve">  Inventory!AK$33</f>
        <v>15000</v>
      </c>
      <c r="AL21" s="4">
        <f ca="1" xml:space="preserve">  Inventory!AL$33</f>
        <v>15000</v>
      </c>
      <c r="AM21" s="4">
        <f ca="1" xml:space="preserve">  Inventory!AM$33</f>
        <v>20000</v>
      </c>
      <c r="AN21" s="4">
        <f ca="1" xml:space="preserve">  Inventory!AN$33</f>
        <v>15000</v>
      </c>
      <c r="AO21" s="4">
        <f ca="1" xml:space="preserve">  Inventory!AO$33</f>
        <v>20000</v>
      </c>
      <c r="AP21" s="4">
        <f ca="1" xml:space="preserve">  Inventory!AP$33</f>
        <v>25000</v>
      </c>
      <c r="AQ21" s="4">
        <f ca="1" xml:space="preserve">  Inventory!AQ$33</f>
        <v>20000</v>
      </c>
      <c r="AR21" s="4">
        <f ca="1" xml:space="preserve">  Inventory!AR$33</f>
        <v>25000</v>
      </c>
      <c r="AS21" s="4">
        <f ca="1" xml:space="preserve">  Inventory!AS$33</f>
        <v>25000</v>
      </c>
      <c r="AT21" s="4">
        <f ca="1" xml:space="preserve">  Inventory!AT$33</f>
        <v>25000</v>
      </c>
      <c r="AU21" s="4">
        <f ca="1" xml:space="preserve">  Inventory!AU$33</f>
        <v>25000</v>
      </c>
      <c r="AV21" s="4">
        <f ca="1" xml:space="preserve">  Inventory!AV$33</f>
        <v>30000</v>
      </c>
      <c r="AW21" s="4">
        <f ca="1" xml:space="preserve">  Inventory!AW$33</f>
        <v>30000</v>
      </c>
      <c r="AX21" s="4">
        <f ca="1" xml:space="preserve">  Inventory!AX$33</f>
        <v>35000</v>
      </c>
      <c r="AY21" s="4">
        <f ca="1" xml:space="preserve">  Inventory!AY$33</f>
        <v>35000</v>
      </c>
      <c r="AZ21" s="4">
        <f ca="1" xml:space="preserve">  Inventory!AZ$33</f>
        <v>35000</v>
      </c>
      <c r="BA21" s="4">
        <f ca="1" xml:space="preserve">  Inventory!BA$33</f>
        <v>40000</v>
      </c>
      <c r="BB21" s="4">
        <f ca="1" xml:space="preserve">  Inventory!BB$33</f>
        <v>40000</v>
      </c>
      <c r="BC21" s="4">
        <f ca="1" xml:space="preserve">  Inventory!BC$33</f>
        <v>45000</v>
      </c>
      <c r="BD21" s="4">
        <f ca="1" xml:space="preserve">  Inventory!BD$33</f>
        <v>45000</v>
      </c>
      <c r="BE21" s="4">
        <f ca="1" xml:space="preserve">  Inventory!BE$33</f>
        <v>50000</v>
      </c>
      <c r="BF21" s="4">
        <f ca="1" xml:space="preserve">  Inventory!BF$33</f>
        <v>50000</v>
      </c>
      <c r="BG21" s="4">
        <f ca="1" xml:space="preserve">  Inventory!BG$33</f>
        <v>55000</v>
      </c>
      <c r="BH21" s="4">
        <f ca="1" xml:space="preserve">  Inventory!BH$33</f>
        <v>60000</v>
      </c>
      <c r="BI21" s="4">
        <f ca="1" xml:space="preserve">  Inventory!BI$33</f>
        <v>60000</v>
      </c>
      <c r="BJ21" s="4">
        <f ca="1" xml:space="preserve">  Inventory!BJ$33</f>
        <v>65000</v>
      </c>
      <c r="BK21" s="4">
        <f ca="1" xml:space="preserve">  Inventory!BK$33</f>
        <v>70000</v>
      </c>
      <c r="BL21" s="4">
        <f ca="1" xml:space="preserve">  Inventory!BL$33</f>
        <v>75000</v>
      </c>
      <c r="BM21" s="4">
        <f ca="1" xml:space="preserve">  Inventory!BM$33</f>
        <v>75000</v>
      </c>
      <c r="BN21" s="4">
        <f ca="1" xml:space="preserve">  Inventory!BN$33</f>
        <v>85000</v>
      </c>
      <c r="BO21" s="4">
        <f ca="1" xml:space="preserve">  Inventory!BO$33</f>
        <v>85000</v>
      </c>
      <c r="BP21" s="4">
        <f ca="1" xml:space="preserve">  Inventory!BP$33</f>
        <v>95000</v>
      </c>
      <c r="BQ21" s="4">
        <f ca="1" xml:space="preserve">  Inventory!BQ$33</f>
        <v>100000</v>
      </c>
    </row>
    <row r="22" spans="1:69">
      <c r="A22" s="18"/>
      <c r="B22" s="18"/>
      <c r="C22" s="28"/>
      <c r="D22" s="27" t="s">
        <v>220</v>
      </c>
      <c r="E22" s="4" t="str">
        <f xml:space="preserve">  InpC!E$35</f>
        <v>Supplier price per unit</v>
      </c>
      <c r="F22" s="4">
        <f xml:space="preserve">  InpC!F$35</f>
        <v>35</v>
      </c>
      <c r="G22" s="4" t="str">
        <f xml:space="preserve">  InpC!G$35</f>
        <v>GBP</v>
      </c>
      <c r="M22" s="2"/>
    </row>
    <row r="23" spans="1:69">
      <c r="A23" s="18"/>
      <c r="B23" s="18"/>
      <c r="C23" s="28"/>
      <c r="D23" s="27" t="s">
        <v>299</v>
      </c>
      <c r="E23" s="4" t="str">
        <f xml:space="preserve">  Inventory!E$77</f>
        <v>Units retired</v>
      </c>
      <c r="F23" s="4">
        <f xml:space="preserve">  Inventory!F$77</f>
        <v>0</v>
      </c>
      <c r="G23" s="4" t="str">
        <f xml:space="preserve">  Inventory!G$77</f>
        <v>Units</v>
      </c>
      <c r="H23" s="4">
        <f ca="1" xml:space="preserve">  Inventory!H$77</f>
        <v>339457.30617658654</v>
      </c>
      <c r="I23" s="4">
        <f xml:space="preserve">  Inventory!I$77</f>
        <v>0</v>
      </c>
      <c r="J23" s="4">
        <f ca="1" xml:space="preserve">  Inventory!J$77</f>
        <v>0</v>
      </c>
      <c r="K23" s="4">
        <f ca="1" xml:space="preserve">  Inventory!K$77</f>
        <v>0</v>
      </c>
      <c r="L23" s="4">
        <f ca="1" xml:space="preserve">  Inventory!L$77</f>
        <v>0</v>
      </c>
      <c r="M23" s="4">
        <f ca="1" xml:space="preserve">  Inventory!M$77</f>
        <v>0</v>
      </c>
      <c r="N23" s="4">
        <f ca="1" xml:space="preserve">  Inventory!N$77</f>
        <v>0</v>
      </c>
      <c r="O23" s="4">
        <f ca="1" xml:space="preserve">  Inventory!O$77</f>
        <v>0</v>
      </c>
      <c r="P23" s="4">
        <f ca="1" xml:space="preserve">  Inventory!P$77</f>
        <v>0</v>
      </c>
      <c r="Q23" s="4">
        <f ca="1" xml:space="preserve">  Inventory!Q$77</f>
        <v>0</v>
      </c>
      <c r="R23" s="4">
        <f ca="1" xml:space="preserve">  Inventory!R$77</f>
        <v>0</v>
      </c>
      <c r="S23" s="4">
        <f ca="1" xml:space="preserve">  Inventory!S$77</f>
        <v>0</v>
      </c>
      <c r="T23" s="4">
        <f ca="1" xml:space="preserve">  Inventory!T$77</f>
        <v>0</v>
      </c>
      <c r="U23" s="4">
        <f ca="1" xml:space="preserve">  Inventory!U$77</f>
        <v>0</v>
      </c>
      <c r="V23" s="4">
        <f ca="1" xml:space="preserve">  Inventory!V$77</f>
        <v>0</v>
      </c>
      <c r="W23" s="4">
        <f ca="1" xml:space="preserve">  Inventory!W$77</f>
        <v>0</v>
      </c>
      <c r="X23" s="4">
        <f ca="1" xml:space="preserve">  Inventory!X$77</f>
        <v>0</v>
      </c>
      <c r="Y23" s="4">
        <f ca="1" xml:space="preserve">  Inventory!Y$77</f>
        <v>0</v>
      </c>
      <c r="Z23" s="4">
        <f ca="1" xml:space="preserve">  Inventory!Z$77</f>
        <v>0</v>
      </c>
      <c r="AA23" s="4">
        <f ca="1" xml:space="preserve">  Inventory!AA$77</f>
        <v>0</v>
      </c>
      <c r="AB23" s="4">
        <f ca="1" xml:space="preserve">  Inventory!AB$77</f>
        <v>0</v>
      </c>
      <c r="AC23" s="4">
        <f ca="1" xml:space="preserve">  Inventory!AC$77</f>
        <v>0</v>
      </c>
      <c r="AD23" s="4">
        <f ca="1" xml:space="preserve">  Inventory!AD$77</f>
        <v>0</v>
      </c>
      <c r="AE23" s="4">
        <f ca="1" xml:space="preserve">  Inventory!AE$77</f>
        <v>0</v>
      </c>
      <c r="AF23" s="4">
        <f ca="1" xml:space="preserve">  Inventory!AF$77</f>
        <v>0</v>
      </c>
      <c r="AG23" s="4">
        <f ca="1" xml:space="preserve">  Inventory!AG$77</f>
        <v>0</v>
      </c>
      <c r="AH23" s="4">
        <f ca="1" xml:space="preserve">  Inventory!AH$77</f>
        <v>1000</v>
      </c>
      <c r="AI23" s="4">
        <f ca="1" xml:space="preserve">  Inventory!AI$77</f>
        <v>1000</v>
      </c>
      <c r="AJ23" s="4">
        <f ca="1" xml:space="preserve">  Inventory!AJ$77</f>
        <v>1000</v>
      </c>
      <c r="AK23" s="4">
        <f ca="1" xml:space="preserve">  Inventory!AK$77</f>
        <v>1000</v>
      </c>
      <c r="AL23" s="4">
        <f ca="1" xml:space="preserve">  Inventory!AL$77</f>
        <v>3000</v>
      </c>
      <c r="AM23" s="4">
        <f ca="1" xml:space="preserve">  Inventory!AM$77</f>
        <v>3000</v>
      </c>
      <c r="AN23" s="4">
        <f ca="1" xml:space="preserve">  Inventory!AN$77</f>
        <v>3000</v>
      </c>
      <c r="AO23" s="4">
        <f ca="1" xml:space="preserve">  Inventory!AO$77</f>
        <v>5000</v>
      </c>
      <c r="AP23" s="4">
        <f ca="1" xml:space="preserve">  Inventory!AP$77</f>
        <v>5000</v>
      </c>
      <c r="AQ23" s="4">
        <f ca="1" xml:space="preserve">  Inventory!AQ$77</f>
        <v>5000</v>
      </c>
      <c r="AR23" s="4">
        <f ca="1" xml:space="preserve">  Inventory!AR$77</f>
        <v>5000</v>
      </c>
      <c r="AS23" s="4">
        <f ca="1" xml:space="preserve">  Inventory!AS$77</f>
        <v>5000</v>
      </c>
      <c r="AT23" s="4">
        <f ca="1" xml:space="preserve">  Inventory!AT$77</f>
        <v>5297.3154717964762</v>
      </c>
      <c r="AU23" s="4">
        <f ca="1" xml:space="preserve">  Inventory!AU$77</f>
        <v>5612.3102415468647</v>
      </c>
      <c r="AV23" s="4">
        <f ca="1" xml:space="preserve">  Inventory!AV$77</f>
        <v>5946.035575013605</v>
      </c>
      <c r="AW23" s="4">
        <f ca="1" xml:space="preserve">  Inventory!AW$77</f>
        <v>6299.6052494743653</v>
      </c>
      <c r="AX23" s="4">
        <f ca="1" xml:space="preserve">  Inventory!AX$77</f>
        <v>6674.1992708501712</v>
      </c>
      <c r="AY23" s="4">
        <f ca="1" xml:space="preserve">  Inventory!AY$77</f>
        <v>7071.0678118654751</v>
      </c>
      <c r="AZ23" s="4">
        <f ca="1" xml:space="preserve">  Inventory!AZ$77</f>
        <v>7491.5353843834073</v>
      </c>
      <c r="BA23" s="4">
        <f ca="1" xml:space="preserve">  Inventory!BA$77</f>
        <v>7937.0052598409975</v>
      </c>
      <c r="BB23" s="4">
        <f ca="1" xml:space="preserve">  Inventory!BB$77</f>
        <v>8408.9641525371462</v>
      </c>
      <c r="BC23" s="4">
        <f ca="1" xml:space="preserve">  Inventory!BC$77</f>
        <v>8908.9871814033941</v>
      </c>
      <c r="BD23" s="4">
        <f ca="1" xml:space="preserve">  Inventory!BD$77</f>
        <v>9438.7431268169366</v>
      </c>
      <c r="BE23" s="4">
        <f ca="1" xml:space="preserve">  Inventory!BE$77</f>
        <v>10000.000000000002</v>
      </c>
      <c r="BF23" s="4">
        <f ca="1" xml:space="preserve">  Inventory!BF$77</f>
        <v>11494.630943592954</v>
      </c>
      <c r="BG23" s="4">
        <f ca="1" xml:space="preserve">  Inventory!BG$77</f>
        <v>12124.620483093731</v>
      </c>
      <c r="BH23" s="4">
        <f ca="1" xml:space="preserve">  Inventory!BH$77</f>
        <v>12792.071150027214</v>
      </c>
      <c r="BI23" s="4">
        <f ca="1" xml:space="preserve">  Inventory!BI$77</f>
        <v>13499.210498948736</v>
      </c>
      <c r="BJ23" s="4">
        <f ca="1" xml:space="preserve">  Inventory!BJ$77</f>
        <v>16048.39854170035</v>
      </c>
      <c r="BK23" s="4">
        <f ca="1" xml:space="preserve">  Inventory!BK$77</f>
        <v>16842.135623730959</v>
      </c>
      <c r="BL23" s="4">
        <f ca="1" xml:space="preserve">  Inventory!BL$77</f>
        <v>17683.070768766825</v>
      </c>
      <c r="BM23" s="4">
        <f ca="1" xml:space="preserve">  Inventory!BM$77</f>
        <v>20374.010519682004</v>
      </c>
      <c r="BN23" s="4">
        <f ca="1" xml:space="preserve">  Inventory!BN$77</f>
        <v>21317.9283050743</v>
      </c>
      <c r="BO23" s="4">
        <f ca="1" xml:space="preserve">  Inventory!BO$77</f>
        <v>22317.974362806795</v>
      </c>
      <c r="BP23" s="4">
        <f ca="1" xml:space="preserve">  Inventory!BP$77</f>
        <v>23377.486253633881</v>
      </c>
      <c r="BQ23" s="4">
        <f ca="1" xml:space="preserve">  Inventory!BQ$77</f>
        <v>24500.000000000011</v>
      </c>
    </row>
    <row r="24" spans="1:69" s="86" customFormat="1">
      <c r="A24" s="63"/>
      <c r="B24" s="63"/>
      <c r="C24" s="89"/>
      <c r="D24" s="91"/>
      <c r="E24" s="33" t="s">
        <v>109</v>
      </c>
      <c r="F24" s="33"/>
      <c r="G24" s="33" t="s">
        <v>257</v>
      </c>
      <c r="H24" s="33"/>
      <c r="I24" s="11">
        <f t="shared" ref="I24:BQ24" si="5" xml:space="preserve">  IF( I19 = 0, $F18, I20 + ( ( I21 - I23 ) * $F22 ) )</f>
        <v>0</v>
      </c>
      <c r="J24" s="11">
        <f t="shared" ca="1" si="5"/>
        <v>0</v>
      </c>
      <c r="K24" s="11">
        <f t="shared" ca="1" si="5"/>
        <v>0</v>
      </c>
      <c r="L24" s="11">
        <f t="shared" ca="1" si="5"/>
        <v>350000</v>
      </c>
      <c r="M24" s="11">
        <f t="shared" ca="1" si="5"/>
        <v>700000</v>
      </c>
      <c r="N24" s="11">
        <f t="shared" ca="1" si="5"/>
        <v>1050000</v>
      </c>
      <c r="O24" s="11">
        <f t="shared" ca="1" si="5"/>
        <v>1050000</v>
      </c>
      <c r="P24" s="11">
        <f t="shared" ca="1" si="5"/>
        <v>1400000</v>
      </c>
      <c r="Q24" s="11">
        <f t="shared" ca="1" si="5"/>
        <v>1400000</v>
      </c>
      <c r="R24" s="11">
        <f t="shared" ca="1" si="5"/>
        <v>1750000</v>
      </c>
      <c r="S24" s="11">
        <f t="shared" ca="1" si="5"/>
        <v>1750000</v>
      </c>
      <c r="T24" s="11">
        <f t="shared" ca="1" si="5"/>
        <v>1750000</v>
      </c>
      <c r="U24" s="11">
        <f t="shared" ca="1" si="5"/>
        <v>1750000</v>
      </c>
      <c r="V24" s="11">
        <f t="shared" ca="1" si="5"/>
        <v>1750000</v>
      </c>
      <c r="W24" s="11">
        <f t="shared" ca="1" si="5"/>
        <v>1750000</v>
      </c>
      <c r="X24" s="11">
        <f t="shared" ca="1" si="5"/>
        <v>1925000</v>
      </c>
      <c r="Y24" s="11">
        <f t="shared" ca="1" si="5"/>
        <v>2100000</v>
      </c>
      <c r="Z24" s="11">
        <f t="shared" ca="1" si="5"/>
        <v>2275000</v>
      </c>
      <c r="AA24" s="11">
        <f t="shared" ca="1" si="5"/>
        <v>2625000</v>
      </c>
      <c r="AB24" s="11">
        <f t="shared" ca="1" si="5"/>
        <v>2800000</v>
      </c>
      <c r="AC24" s="11">
        <f t="shared" ca="1" si="5"/>
        <v>3150000</v>
      </c>
      <c r="AD24" s="11">
        <f t="shared" ca="1" si="5"/>
        <v>3325000</v>
      </c>
      <c r="AE24" s="11">
        <f t="shared" ca="1" si="5"/>
        <v>3675000</v>
      </c>
      <c r="AF24" s="11">
        <f t="shared" ca="1" si="5"/>
        <v>4025000</v>
      </c>
      <c r="AG24" s="11">
        <f t="shared" ca="1" si="5"/>
        <v>4375000</v>
      </c>
      <c r="AH24" s="11">
        <f t="shared" ca="1" si="5"/>
        <v>4690000</v>
      </c>
      <c r="AI24" s="11">
        <f t="shared" ca="1" si="5"/>
        <v>5180000</v>
      </c>
      <c r="AJ24" s="11">
        <f t="shared" ca="1" si="5"/>
        <v>5495000</v>
      </c>
      <c r="AK24" s="11">
        <f t="shared" ca="1" si="5"/>
        <v>5985000</v>
      </c>
      <c r="AL24" s="11">
        <f t="shared" ca="1" si="5"/>
        <v>6405000</v>
      </c>
      <c r="AM24" s="11">
        <f t="shared" ca="1" si="5"/>
        <v>7000000</v>
      </c>
      <c r="AN24" s="11">
        <f t="shared" ca="1" si="5"/>
        <v>7420000</v>
      </c>
      <c r="AO24" s="11">
        <f t="shared" ca="1" si="5"/>
        <v>7945000</v>
      </c>
      <c r="AP24" s="11">
        <f t="shared" ca="1" si="5"/>
        <v>8645000</v>
      </c>
      <c r="AQ24" s="11">
        <f t="shared" ca="1" si="5"/>
        <v>9170000</v>
      </c>
      <c r="AR24" s="11">
        <f t="shared" ca="1" si="5"/>
        <v>9870000</v>
      </c>
      <c r="AS24" s="11">
        <f t="shared" ca="1" si="5"/>
        <v>10570000</v>
      </c>
      <c r="AT24" s="11">
        <f t="shared" ca="1" si="5"/>
        <v>11259593.958487123</v>
      </c>
      <c r="AU24" s="11">
        <f t="shared" ca="1" si="5"/>
        <v>11938163.100032983</v>
      </c>
      <c r="AV24" s="11">
        <f t="shared" ca="1" si="5"/>
        <v>12780051.854907507</v>
      </c>
      <c r="AW24" s="11">
        <f t="shared" ca="1" si="5"/>
        <v>13609565.671175905</v>
      </c>
      <c r="AX24" s="11">
        <f t="shared" ca="1" si="5"/>
        <v>14600968.696696149</v>
      </c>
      <c r="AY24" s="11">
        <f t="shared" ca="1" si="5"/>
        <v>15578481.323280858</v>
      </c>
      <c r="AZ24" s="11">
        <f t="shared" ca="1" si="5"/>
        <v>16541277.584827438</v>
      </c>
      <c r="BA24" s="11">
        <f t="shared" ca="1" si="5"/>
        <v>17663482.400733002</v>
      </c>
      <c r="BB24" s="11">
        <f t="shared" ca="1" si="5"/>
        <v>18769168.6553942</v>
      </c>
      <c r="BC24" s="11">
        <f t="shared" ca="1" si="5"/>
        <v>20032354.104045082</v>
      </c>
      <c r="BD24" s="11">
        <f t="shared" ca="1" si="5"/>
        <v>21276998.094606489</v>
      </c>
      <c r="BE24" s="11">
        <f t="shared" ca="1" si="5"/>
        <v>22676998.094606489</v>
      </c>
      <c r="BF24" s="11">
        <f t="shared" ca="1" si="5"/>
        <v>24024686.011580735</v>
      </c>
      <c r="BG24" s="11">
        <f t="shared" ca="1" si="5"/>
        <v>25525324.294672456</v>
      </c>
      <c r="BH24" s="11">
        <f t="shared" ca="1" si="5"/>
        <v>27177601.804421503</v>
      </c>
      <c r="BI24" s="11">
        <f t="shared" ca="1" si="5"/>
        <v>28805129.436958298</v>
      </c>
      <c r="BJ24" s="11">
        <f t="shared" ca="1" si="5"/>
        <v>30518435.487998787</v>
      </c>
      <c r="BK24" s="11">
        <f t="shared" ca="1" si="5"/>
        <v>32378960.741168205</v>
      </c>
      <c r="BL24" s="11">
        <f t="shared" ca="1" si="5"/>
        <v>34385053.264261365</v>
      </c>
      <c r="BM24" s="11">
        <f t="shared" ca="1" si="5"/>
        <v>36296962.896072492</v>
      </c>
      <c r="BN24" s="11">
        <f t="shared" ca="1" si="5"/>
        <v>38525835.405394889</v>
      </c>
      <c r="BO24" s="11">
        <f t="shared" ca="1" si="5"/>
        <v>40719706.302696653</v>
      </c>
      <c r="BP24" s="11">
        <f t="shared" ca="1" si="5"/>
        <v>43226494.283819467</v>
      </c>
      <c r="BQ24" s="11">
        <f t="shared" ca="1" si="5"/>
        <v>45868994.283819467</v>
      </c>
    </row>
    <row r="26" spans="1:69">
      <c r="B26" s="25" t="s">
        <v>60</v>
      </c>
    </row>
    <row r="27" spans="1:69" s="80" customFormat="1">
      <c r="A27" s="60"/>
      <c r="B27" s="60"/>
      <c r="C27" s="82"/>
      <c r="D27" s="85"/>
      <c r="E27" s="40" t="str">
        <f xml:space="preserve">  InpC!E$47</f>
        <v>Opening Depreciation</v>
      </c>
      <c r="F27" s="40">
        <f xml:space="preserve">  InpC!F$47</f>
        <v>0</v>
      </c>
      <c r="G27" s="40" t="str">
        <f xml:space="preserve">  InpC!G$47</f>
        <v>GBP</v>
      </c>
      <c r="M27" s="87"/>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249</v>
      </c>
      <c r="G29" s="47" t="s">
        <v>257</v>
      </c>
      <c r="J29" s="2">
        <f t="shared" ref="J29:BQ29" si="6" xml:space="preserve">  I33</f>
        <v>0</v>
      </c>
      <c r="K29" s="2">
        <f t="shared" ca="1" si="6"/>
        <v>0</v>
      </c>
      <c r="L29" s="2">
        <f t="shared" ca="1" si="6"/>
        <v>7291.666666666667</v>
      </c>
      <c r="M29" s="2">
        <f t="shared" ca="1" si="6"/>
        <v>0</v>
      </c>
      <c r="N29" s="2">
        <f t="shared" ca="1" si="6"/>
        <v>-7291.666666666667</v>
      </c>
      <c r="O29" s="2">
        <f t="shared" ca="1" si="6"/>
        <v>-14583.333333333334</v>
      </c>
      <c r="P29" s="2">
        <f t="shared" ca="1" si="6"/>
        <v>7291.6666666666661</v>
      </c>
      <c r="Q29" s="2">
        <f t="shared" ca="1" si="6"/>
        <v>14583.333333333332</v>
      </c>
      <c r="R29" s="2">
        <f t="shared" ca="1" si="6"/>
        <v>36458.333333333328</v>
      </c>
      <c r="S29" s="2">
        <f t="shared" ca="1" si="6"/>
        <v>43749.999999999993</v>
      </c>
      <c r="T29" s="2">
        <f t="shared" ca="1" si="6"/>
        <v>80208.333333333328</v>
      </c>
      <c r="U29" s="2">
        <f t="shared" ca="1" si="6"/>
        <v>116666.66666666666</v>
      </c>
      <c r="V29" s="2">
        <f t="shared" ca="1" si="6"/>
        <v>167708.33333333331</v>
      </c>
      <c r="W29" s="2">
        <f t="shared" ca="1" si="6"/>
        <v>233333.33333333331</v>
      </c>
      <c r="X29" s="2">
        <f t="shared" ca="1" si="6"/>
        <v>298958.33333333331</v>
      </c>
      <c r="Y29" s="2">
        <f t="shared" ca="1" si="6"/>
        <v>371875</v>
      </c>
      <c r="Z29" s="2">
        <f t="shared" ca="1" si="6"/>
        <v>444791.66666666669</v>
      </c>
      <c r="AA29" s="2">
        <f t="shared" ca="1" si="6"/>
        <v>517708.33333333337</v>
      </c>
      <c r="AB29" s="2">
        <f t="shared" ca="1" si="6"/>
        <v>583333.33333333337</v>
      </c>
      <c r="AC29" s="2">
        <f t="shared" ca="1" si="6"/>
        <v>656250</v>
      </c>
      <c r="AD29" s="2">
        <f t="shared" ca="1" si="6"/>
        <v>721875</v>
      </c>
      <c r="AE29" s="2">
        <f t="shared" ca="1" si="6"/>
        <v>802083.33333333337</v>
      </c>
      <c r="AF29" s="2">
        <f t="shared" ca="1" si="6"/>
        <v>882291.66666666674</v>
      </c>
      <c r="AG29" s="2">
        <f t="shared" ca="1" si="6"/>
        <v>969791.66666666674</v>
      </c>
      <c r="AH29" s="2">
        <f t="shared" ca="1" si="6"/>
        <v>1071875</v>
      </c>
      <c r="AI29" s="2">
        <f t="shared" ca="1" si="6"/>
        <v>1146250</v>
      </c>
      <c r="AJ29" s="2">
        <f t="shared" ca="1" si="6"/>
        <v>1226458.3333333333</v>
      </c>
      <c r="AK29" s="2">
        <f t="shared" ca="1" si="6"/>
        <v>1319791.6666666665</v>
      </c>
      <c r="AL29" s="2">
        <f t="shared" ca="1" si="6"/>
        <v>1418958.3333333333</v>
      </c>
      <c r="AM29" s="2">
        <f t="shared" ca="1" si="6"/>
        <v>1461250</v>
      </c>
      <c r="AN29" s="2">
        <f t="shared" ca="1" si="6"/>
        <v>1506458.3333333333</v>
      </c>
      <c r="AO29" s="2">
        <f t="shared" ca="1" si="6"/>
        <v>1569166.6666666665</v>
      </c>
      <c r="AP29" s="2">
        <f t="shared" ca="1" si="6"/>
        <v>1572083.3333333333</v>
      </c>
      <c r="AQ29" s="2">
        <f t="shared" ca="1" si="6"/>
        <v>1575000</v>
      </c>
      <c r="AR29" s="2">
        <f t="shared" ca="1" si="6"/>
        <v>1599791.6666666667</v>
      </c>
      <c r="AS29" s="2">
        <f t="shared" ca="1" si="6"/>
        <v>1631875</v>
      </c>
      <c r="AT29" s="2">
        <f t="shared" ca="1" si="6"/>
        <v>1685833.3333333333</v>
      </c>
      <c r="AU29" s="2">
        <f t="shared" ca="1" si="6"/>
        <v>1743968.9584871233</v>
      </c>
      <c r="AV29" s="2">
        <f t="shared" ca="1" si="6"/>
        <v>1812521.1816366133</v>
      </c>
      <c r="AW29" s="2">
        <f t="shared" ca="1" si="6"/>
        <v>1890375.0656791781</v>
      </c>
      <c r="AX29" s="2">
        <f t="shared" ca="1" si="6"/>
        <v>1976349.3759020546</v>
      </c>
      <c r="AY29" s="2">
        <f t="shared" ca="1" si="6"/>
        <v>2069192.6377212948</v>
      </c>
      <c r="AZ29" s="2">
        <f t="shared" ca="1" si="6"/>
        <v>2174870.6266683424</v>
      </c>
      <c r="BA29" s="2">
        <f t="shared" ca="1" si="6"/>
        <v>2291978.610018292</v>
      </c>
      <c r="BB29" s="2">
        <f t="shared" ca="1" si="6"/>
        <v>2411736.6586250002</v>
      </c>
      <c r="BC29" s="2">
        <f t="shared" ca="1" si="6"/>
        <v>2547151.3466500752</v>
      </c>
      <c r="BD29" s="2">
        <f t="shared" ca="1" si="6"/>
        <v>2689260.4892757148</v>
      </c>
      <c r="BE29" s="2">
        <f t="shared" ca="1" si="6"/>
        <v>2850877.567505667</v>
      </c>
      <c r="BF29" s="2">
        <f t="shared" ca="1" si="6"/>
        <v>3022835.8214476039</v>
      </c>
      <c r="BG29" s="2">
        <f t="shared" ca="1" si="6"/>
        <v>3178940.3256971207</v>
      </c>
      <c r="BH29" s="2">
        <f t="shared" ca="1" si="6"/>
        <v>3347273.8592713708</v>
      </c>
      <c r="BI29" s="2">
        <f t="shared" ca="1" si="6"/>
        <v>3525606.5479651038</v>
      </c>
      <c r="BJ29" s="2">
        <f t="shared" ca="1" si="6"/>
        <v>3726159.2556861276</v>
      </c>
      <c r="BK29" s="2">
        <f t="shared" ca="1" si="6"/>
        <v>3876137.3665998778</v>
      </c>
      <c r="BL29" s="2">
        <f t="shared" ca="1" si="6"/>
        <v>4040555.7651025774</v>
      </c>
      <c r="BM29" s="2">
        <f t="shared" ca="1" si="6"/>
        <v>4216604.9857444139</v>
      </c>
      <c r="BN29" s="2">
        <f t="shared" ca="1" si="6"/>
        <v>4352891.8368997676</v>
      </c>
      <c r="BO29" s="2">
        <f t="shared" ca="1" si="6"/>
        <v>4499346.133558521</v>
      </c>
      <c r="BP29" s="2">
        <f t="shared" ca="1" si="6"/>
        <v>4667210.1727517368</v>
      </c>
      <c r="BQ29" s="2">
        <f t="shared" ca="1" si="6"/>
        <v>4845652.5831535785</v>
      </c>
    </row>
    <row r="30" spans="1:69">
      <c r="D30" s="94" t="s">
        <v>220</v>
      </c>
      <c r="E30" s="2" t="str">
        <f t="shared" ref="E30:BQ30" si="7" xml:space="preserve">  E$13</f>
        <v>Depreciation this period POS</v>
      </c>
      <c r="F30" s="2">
        <f t="shared" si="7"/>
        <v>0</v>
      </c>
      <c r="G30" s="2" t="str">
        <f t="shared" si="7"/>
        <v>GBP</v>
      </c>
      <c r="H30" s="2">
        <f t="shared" ca="1" si="7"/>
        <v>16926512.227826584</v>
      </c>
      <c r="I30" s="2">
        <f t="shared" si="7"/>
        <v>0</v>
      </c>
      <c r="J30" s="2">
        <f t="shared" ca="1" si="7"/>
        <v>0</v>
      </c>
      <c r="K30" s="2">
        <f t="shared" ca="1" si="7"/>
        <v>7291.666666666667</v>
      </c>
      <c r="L30" s="2">
        <f t="shared" ca="1" si="7"/>
        <v>-7291.666666666667</v>
      </c>
      <c r="M30" s="2">
        <f t="shared" ca="1" si="7"/>
        <v>-7291.666666666667</v>
      </c>
      <c r="N30" s="2">
        <f t="shared" ca="1" si="7"/>
        <v>-7291.666666666667</v>
      </c>
      <c r="O30" s="2">
        <f t="shared" ca="1" si="7"/>
        <v>21875</v>
      </c>
      <c r="P30" s="2">
        <f t="shared" ca="1" si="7"/>
        <v>7291.666666666667</v>
      </c>
      <c r="Q30" s="2">
        <f t="shared" ca="1" si="7"/>
        <v>21875</v>
      </c>
      <c r="R30" s="2">
        <f t="shared" ca="1" si="7"/>
        <v>7291.666666666667</v>
      </c>
      <c r="S30" s="2">
        <f t="shared" ca="1" si="7"/>
        <v>36458.333333333336</v>
      </c>
      <c r="T30" s="2">
        <f t="shared" ca="1" si="7"/>
        <v>36458.333333333336</v>
      </c>
      <c r="U30" s="2">
        <f t="shared" ca="1" si="7"/>
        <v>51041.666666666664</v>
      </c>
      <c r="V30" s="2">
        <f t="shared" ca="1" si="7"/>
        <v>65625</v>
      </c>
      <c r="W30" s="2">
        <f t="shared" ca="1" si="7"/>
        <v>65625</v>
      </c>
      <c r="X30" s="2">
        <f t="shared" ca="1" si="7"/>
        <v>72916.666666666672</v>
      </c>
      <c r="Y30" s="2">
        <f t="shared" ca="1" si="7"/>
        <v>72916.666666666672</v>
      </c>
      <c r="Z30" s="2">
        <f t="shared" ca="1" si="7"/>
        <v>72916.666666666672</v>
      </c>
      <c r="AA30" s="2">
        <f t="shared" ca="1" si="7"/>
        <v>65625</v>
      </c>
      <c r="AB30" s="2">
        <f t="shared" ca="1" si="7"/>
        <v>72916.666666666672</v>
      </c>
      <c r="AC30" s="2">
        <f t="shared" ca="1" si="7"/>
        <v>65625</v>
      </c>
      <c r="AD30" s="2">
        <f t="shared" ca="1" si="7"/>
        <v>80208.333333333328</v>
      </c>
      <c r="AE30" s="2">
        <f t="shared" ca="1" si="7"/>
        <v>80208.333333333328</v>
      </c>
      <c r="AF30" s="2">
        <f t="shared" ca="1" si="7"/>
        <v>87500</v>
      </c>
      <c r="AG30" s="2">
        <f t="shared" ca="1" si="7"/>
        <v>102083.33333333333</v>
      </c>
      <c r="AH30" s="2">
        <f t="shared" ca="1" si="7"/>
        <v>109375</v>
      </c>
      <c r="AI30" s="2">
        <f t="shared" ca="1" si="7"/>
        <v>115208.33333333333</v>
      </c>
      <c r="AJ30" s="2">
        <f t="shared" ca="1" si="7"/>
        <v>128333.33333333333</v>
      </c>
      <c r="AK30" s="2">
        <f t="shared" ca="1" si="7"/>
        <v>134166.66666666666</v>
      </c>
      <c r="AL30" s="2">
        <f t="shared" ca="1" si="7"/>
        <v>147291.66666666666</v>
      </c>
      <c r="AM30" s="2">
        <f t="shared" ca="1" si="7"/>
        <v>150208.33333333334</v>
      </c>
      <c r="AN30" s="2">
        <f t="shared" ca="1" si="7"/>
        <v>167708.33333333334</v>
      </c>
      <c r="AO30" s="2">
        <f t="shared" ca="1" si="7"/>
        <v>177916.66666666666</v>
      </c>
      <c r="AP30" s="2">
        <f t="shared" ca="1" si="7"/>
        <v>177916.66666666666</v>
      </c>
      <c r="AQ30" s="2">
        <f t="shared" ca="1" si="7"/>
        <v>199791.66666666666</v>
      </c>
      <c r="AR30" s="2">
        <f t="shared" ca="1" si="7"/>
        <v>207083.33333333334</v>
      </c>
      <c r="AS30" s="2">
        <f t="shared" ca="1" si="7"/>
        <v>228958.33333333334</v>
      </c>
      <c r="AT30" s="2">
        <f t="shared" ca="1" si="7"/>
        <v>243541.66666666666</v>
      </c>
      <c r="AU30" s="2">
        <f t="shared" ca="1" si="7"/>
        <v>264983.08160363015</v>
      </c>
      <c r="AV30" s="2">
        <f t="shared" ca="1" si="7"/>
        <v>285965.12916804099</v>
      </c>
      <c r="AW30" s="2">
        <f t="shared" ca="1" si="7"/>
        <v>306460.49395447946</v>
      </c>
      <c r="AX30" s="2">
        <f t="shared" ca="1" si="7"/>
        <v>326440.23629899602</v>
      </c>
      <c r="AY30" s="2">
        <f t="shared" ca="1" si="7"/>
        <v>353165.36236233957</v>
      </c>
      <c r="AZ30" s="2">
        <f t="shared" ca="1" si="7"/>
        <v>379311.72180336906</v>
      </c>
      <c r="BA30" s="2">
        <f t="shared" ca="1" si="7"/>
        <v>397553.23270114325</v>
      </c>
      <c r="BB30" s="2">
        <f t="shared" ca="1" si="7"/>
        <v>429728.43336387508</v>
      </c>
      <c r="BC30" s="2">
        <f t="shared" ca="1" si="7"/>
        <v>453923.69397475832</v>
      </c>
      <c r="BD30" s="2">
        <f t="shared" ca="1" si="7"/>
        <v>491973.08766854508</v>
      </c>
      <c r="BE30" s="2">
        <f t="shared" ca="1" si="7"/>
        <v>521958.25394193706</v>
      </c>
      <c r="BF30" s="2">
        <f t="shared" ca="1" si="7"/>
        <v>558416.58727527037</v>
      </c>
      <c r="BG30" s="2">
        <f t="shared" ca="1" si="7"/>
        <v>592695.25048253068</v>
      </c>
      <c r="BH30" s="2">
        <f t="shared" ca="1" si="7"/>
        <v>626055.17894468561</v>
      </c>
      <c r="BI30" s="2">
        <f t="shared" ca="1" si="7"/>
        <v>673025.0751842293</v>
      </c>
      <c r="BJ30" s="2">
        <f t="shared" ca="1" si="7"/>
        <v>711672.05987326242</v>
      </c>
      <c r="BK30" s="2">
        <f t="shared" ca="1" si="7"/>
        <v>753893.14533328277</v>
      </c>
      <c r="BL30" s="2">
        <f t="shared" ca="1" si="7"/>
        <v>794956.69754867523</v>
      </c>
      <c r="BM30" s="2">
        <f t="shared" ca="1" si="7"/>
        <v>849377.2193442235</v>
      </c>
      <c r="BN30" s="2">
        <f t="shared" ca="1" si="7"/>
        <v>892581.78733635379</v>
      </c>
      <c r="BO30" s="2">
        <f t="shared" ca="1" si="7"/>
        <v>948993.14189145376</v>
      </c>
      <c r="BP30" s="2">
        <f t="shared" ca="1" si="7"/>
        <v>996654.42927902716</v>
      </c>
      <c r="BQ30" s="2">
        <f t="shared" ca="1" si="7"/>
        <v>1057353.9284924779</v>
      </c>
    </row>
    <row r="31" spans="1:69">
      <c r="A31" s="18"/>
      <c r="B31" s="18"/>
      <c r="C31" s="28"/>
      <c r="D31" s="27" t="s">
        <v>299</v>
      </c>
      <c r="E31" s="4" t="str">
        <f xml:space="preserve">  Inventory!E$77</f>
        <v>Units retired</v>
      </c>
      <c r="F31" s="4">
        <f xml:space="preserve">  Inventory!F$77</f>
        <v>0</v>
      </c>
      <c r="G31" s="4" t="str">
        <f xml:space="preserve">  Inventory!G$77</f>
        <v>Units</v>
      </c>
      <c r="H31" s="4">
        <f ca="1" xml:space="preserve">  Inventory!H$77</f>
        <v>339457.30617658654</v>
      </c>
      <c r="I31" s="4">
        <f xml:space="preserve">  Inventory!I$77</f>
        <v>0</v>
      </c>
      <c r="J31" s="4">
        <f ca="1" xml:space="preserve">  Inventory!J$77</f>
        <v>0</v>
      </c>
      <c r="K31" s="4">
        <f ca="1" xml:space="preserve">  Inventory!K$77</f>
        <v>0</v>
      </c>
      <c r="L31" s="4">
        <f ca="1" xml:space="preserve">  Inventory!L$77</f>
        <v>0</v>
      </c>
      <c r="M31" s="4">
        <f ca="1" xml:space="preserve">  Inventory!M$77</f>
        <v>0</v>
      </c>
      <c r="N31" s="4">
        <f ca="1" xml:space="preserve">  Inventory!N$77</f>
        <v>0</v>
      </c>
      <c r="O31" s="4">
        <f ca="1" xml:space="preserve">  Inventory!O$77</f>
        <v>0</v>
      </c>
      <c r="P31" s="4">
        <f ca="1" xml:space="preserve">  Inventory!P$77</f>
        <v>0</v>
      </c>
      <c r="Q31" s="4">
        <f ca="1" xml:space="preserve">  Inventory!Q$77</f>
        <v>0</v>
      </c>
      <c r="R31" s="4">
        <f ca="1" xml:space="preserve">  Inventory!R$77</f>
        <v>0</v>
      </c>
      <c r="S31" s="4">
        <f ca="1" xml:space="preserve">  Inventory!S$77</f>
        <v>0</v>
      </c>
      <c r="T31" s="4">
        <f ca="1" xml:space="preserve">  Inventory!T$77</f>
        <v>0</v>
      </c>
      <c r="U31" s="4">
        <f ca="1" xml:space="preserve">  Inventory!U$77</f>
        <v>0</v>
      </c>
      <c r="V31" s="4">
        <f ca="1" xml:space="preserve">  Inventory!V$77</f>
        <v>0</v>
      </c>
      <c r="W31" s="4">
        <f ca="1" xml:space="preserve">  Inventory!W$77</f>
        <v>0</v>
      </c>
      <c r="X31" s="4">
        <f ca="1" xml:space="preserve">  Inventory!X$77</f>
        <v>0</v>
      </c>
      <c r="Y31" s="4">
        <f ca="1" xml:space="preserve">  Inventory!Y$77</f>
        <v>0</v>
      </c>
      <c r="Z31" s="4">
        <f ca="1" xml:space="preserve">  Inventory!Z$77</f>
        <v>0</v>
      </c>
      <c r="AA31" s="4">
        <f ca="1" xml:space="preserve">  Inventory!AA$77</f>
        <v>0</v>
      </c>
      <c r="AB31" s="4">
        <f ca="1" xml:space="preserve">  Inventory!AB$77</f>
        <v>0</v>
      </c>
      <c r="AC31" s="4">
        <f ca="1" xml:space="preserve">  Inventory!AC$77</f>
        <v>0</v>
      </c>
      <c r="AD31" s="4">
        <f ca="1" xml:space="preserve">  Inventory!AD$77</f>
        <v>0</v>
      </c>
      <c r="AE31" s="4">
        <f ca="1" xml:space="preserve">  Inventory!AE$77</f>
        <v>0</v>
      </c>
      <c r="AF31" s="4">
        <f ca="1" xml:space="preserve">  Inventory!AF$77</f>
        <v>0</v>
      </c>
      <c r="AG31" s="4">
        <f ca="1" xml:space="preserve">  Inventory!AG$77</f>
        <v>0</v>
      </c>
      <c r="AH31" s="4">
        <f ca="1" xml:space="preserve">  Inventory!AH$77</f>
        <v>1000</v>
      </c>
      <c r="AI31" s="4">
        <f ca="1" xml:space="preserve">  Inventory!AI$77</f>
        <v>1000</v>
      </c>
      <c r="AJ31" s="4">
        <f ca="1" xml:space="preserve">  Inventory!AJ$77</f>
        <v>1000</v>
      </c>
      <c r="AK31" s="4">
        <f ca="1" xml:space="preserve">  Inventory!AK$77</f>
        <v>1000</v>
      </c>
      <c r="AL31" s="4">
        <f ca="1" xml:space="preserve">  Inventory!AL$77</f>
        <v>3000</v>
      </c>
      <c r="AM31" s="4">
        <f ca="1" xml:space="preserve">  Inventory!AM$77</f>
        <v>3000</v>
      </c>
      <c r="AN31" s="4">
        <f ca="1" xml:space="preserve">  Inventory!AN$77</f>
        <v>3000</v>
      </c>
      <c r="AO31" s="4">
        <f ca="1" xml:space="preserve">  Inventory!AO$77</f>
        <v>5000</v>
      </c>
      <c r="AP31" s="4">
        <f ca="1" xml:space="preserve">  Inventory!AP$77</f>
        <v>5000</v>
      </c>
      <c r="AQ31" s="4">
        <f ca="1" xml:space="preserve">  Inventory!AQ$77</f>
        <v>5000</v>
      </c>
      <c r="AR31" s="4">
        <f ca="1" xml:space="preserve">  Inventory!AR$77</f>
        <v>5000</v>
      </c>
      <c r="AS31" s="4">
        <f ca="1" xml:space="preserve">  Inventory!AS$77</f>
        <v>5000</v>
      </c>
      <c r="AT31" s="4">
        <f ca="1" xml:space="preserve">  Inventory!AT$77</f>
        <v>5297.3154717964762</v>
      </c>
      <c r="AU31" s="4">
        <f ca="1" xml:space="preserve">  Inventory!AU$77</f>
        <v>5612.3102415468647</v>
      </c>
      <c r="AV31" s="4">
        <f ca="1" xml:space="preserve">  Inventory!AV$77</f>
        <v>5946.035575013605</v>
      </c>
      <c r="AW31" s="4">
        <f ca="1" xml:space="preserve">  Inventory!AW$77</f>
        <v>6299.6052494743653</v>
      </c>
      <c r="AX31" s="4">
        <f ca="1" xml:space="preserve">  Inventory!AX$77</f>
        <v>6674.1992708501712</v>
      </c>
      <c r="AY31" s="4">
        <f ca="1" xml:space="preserve">  Inventory!AY$77</f>
        <v>7071.0678118654751</v>
      </c>
      <c r="AZ31" s="4">
        <f ca="1" xml:space="preserve">  Inventory!AZ$77</f>
        <v>7491.5353843834073</v>
      </c>
      <c r="BA31" s="4">
        <f ca="1" xml:space="preserve">  Inventory!BA$77</f>
        <v>7937.0052598409975</v>
      </c>
      <c r="BB31" s="4">
        <f ca="1" xml:space="preserve">  Inventory!BB$77</f>
        <v>8408.9641525371462</v>
      </c>
      <c r="BC31" s="4">
        <f ca="1" xml:space="preserve">  Inventory!BC$77</f>
        <v>8908.9871814033941</v>
      </c>
      <c r="BD31" s="4">
        <f ca="1" xml:space="preserve">  Inventory!BD$77</f>
        <v>9438.7431268169366</v>
      </c>
      <c r="BE31" s="4">
        <f ca="1" xml:space="preserve">  Inventory!BE$77</f>
        <v>10000.000000000002</v>
      </c>
      <c r="BF31" s="4">
        <f ca="1" xml:space="preserve">  Inventory!BF$77</f>
        <v>11494.630943592954</v>
      </c>
      <c r="BG31" s="4">
        <f ca="1" xml:space="preserve">  Inventory!BG$77</f>
        <v>12124.620483093731</v>
      </c>
      <c r="BH31" s="4">
        <f ca="1" xml:space="preserve">  Inventory!BH$77</f>
        <v>12792.071150027214</v>
      </c>
      <c r="BI31" s="4">
        <f ca="1" xml:space="preserve">  Inventory!BI$77</f>
        <v>13499.210498948736</v>
      </c>
      <c r="BJ31" s="4">
        <f ca="1" xml:space="preserve">  Inventory!BJ$77</f>
        <v>16048.39854170035</v>
      </c>
      <c r="BK31" s="4">
        <f ca="1" xml:space="preserve">  Inventory!BK$77</f>
        <v>16842.135623730959</v>
      </c>
      <c r="BL31" s="4">
        <f ca="1" xml:space="preserve">  Inventory!BL$77</f>
        <v>17683.070768766825</v>
      </c>
      <c r="BM31" s="4">
        <f ca="1" xml:space="preserve">  Inventory!BM$77</f>
        <v>20374.010519682004</v>
      </c>
      <c r="BN31" s="4">
        <f ca="1" xml:space="preserve">  Inventory!BN$77</f>
        <v>21317.9283050743</v>
      </c>
      <c r="BO31" s="4">
        <f ca="1" xml:space="preserve">  Inventory!BO$77</f>
        <v>22317.974362806795</v>
      </c>
      <c r="BP31" s="4">
        <f ca="1" xml:space="preserve">  Inventory!BP$77</f>
        <v>23377.486253633881</v>
      </c>
      <c r="BQ31" s="4">
        <f ca="1" xml:space="preserve">  Inventory!BQ$77</f>
        <v>24500.000000000011</v>
      </c>
    </row>
    <row r="32" spans="1:69">
      <c r="A32" s="18"/>
      <c r="B32" s="18"/>
      <c r="C32" s="28"/>
      <c r="D32" s="27" t="s">
        <v>299</v>
      </c>
      <c r="E32" s="4" t="str">
        <f xml:space="preserve">  InpC!E$35</f>
        <v>Supplier price per unit</v>
      </c>
      <c r="F32" s="4">
        <f xml:space="preserve">  InpC!F$35</f>
        <v>35</v>
      </c>
      <c r="G32" s="4" t="str">
        <f xml:space="preserve">  InpC!G$35</f>
        <v>GBP</v>
      </c>
      <c r="M32" s="2"/>
    </row>
    <row r="33" spans="1:69">
      <c r="E33" s="47" t="s">
        <v>139</v>
      </c>
      <c r="G33" s="47" t="s">
        <v>257</v>
      </c>
      <c r="I33" s="2">
        <f t="shared" ref="I33:BQ33" si="8" xml:space="preserve">  IF( I28 = 0, $F27, I29 + I30 - ( I31 * $F32 ) )</f>
        <v>0</v>
      </c>
      <c r="J33" s="2">
        <f t="shared" ca="1" si="8"/>
        <v>0</v>
      </c>
      <c r="K33" s="2">
        <f t="shared" ca="1" si="8"/>
        <v>7291.666666666667</v>
      </c>
      <c r="L33" s="2">
        <f t="shared" ca="1" si="8"/>
        <v>0</v>
      </c>
      <c r="M33" s="2">
        <f t="shared" ca="1" si="8"/>
        <v>-7291.666666666667</v>
      </c>
      <c r="N33" s="2">
        <f t="shared" ca="1" si="8"/>
        <v>-14583.333333333334</v>
      </c>
      <c r="O33" s="2">
        <f t="shared" ca="1" si="8"/>
        <v>7291.6666666666661</v>
      </c>
      <c r="P33" s="2">
        <f t="shared" ca="1" si="8"/>
        <v>14583.333333333332</v>
      </c>
      <c r="Q33" s="2">
        <f t="shared" ca="1" si="8"/>
        <v>36458.333333333328</v>
      </c>
      <c r="R33" s="2">
        <f t="shared" ca="1" si="8"/>
        <v>43749.999999999993</v>
      </c>
      <c r="S33" s="2">
        <f t="shared" ca="1" si="8"/>
        <v>80208.333333333328</v>
      </c>
      <c r="T33" s="2">
        <f t="shared" ca="1" si="8"/>
        <v>116666.66666666666</v>
      </c>
      <c r="U33" s="2">
        <f t="shared" ca="1" si="8"/>
        <v>167708.33333333331</v>
      </c>
      <c r="V33" s="2">
        <f t="shared" ca="1" si="8"/>
        <v>233333.33333333331</v>
      </c>
      <c r="W33" s="2">
        <f t="shared" ca="1" si="8"/>
        <v>298958.33333333331</v>
      </c>
      <c r="X33" s="2">
        <f t="shared" ca="1" si="8"/>
        <v>371875</v>
      </c>
      <c r="Y33" s="2">
        <f t="shared" ca="1" si="8"/>
        <v>444791.66666666669</v>
      </c>
      <c r="Z33" s="2">
        <f t="shared" ca="1" si="8"/>
        <v>517708.33333333337</v>
      </c>
      <c r="AA33" s="2">
        <f t="shared" ca="1" si="8"/>
        <v>583333.33333333337</v>
      </c>
      <c r="AB33" s="2">
        <f t="shared" ca="1" si="8"/>
        <v>656250</v>
      </c>
      <c r="AC33" s="2">
        <f t="shared" ca="1" si="8"/>
        <v>721875</v>
      </c>
      <c r="AD33" s="2">
        <f t="shared" ca="1" si="8"/>
        <v>802083.33333333337</v>
      </c>
      <c r="AE33" s="2">
        <f t="shared" ca="1" si="8"/>
        <v>882291.66666666674</v>
      </c>
      <c r="AF33" s="2">
        <f t="shared" ca="1" si="8"/>
        <v>969791.66666666674</v>
      </c>
      <c r="AG33" s="2">
        <f t="shared" ca="1" si="8"/>
        <v>1071875</v>
      </c>
      <c r="AH33" s="2">
        <f t="shared" ca="1" si="8"/>
        <v>1146250</v>
      </c>
      <c r="AI33" s="2">
        <f t="shared" ca="1" si="8"/>
        <v>1226458.3333333333</v>
      </c>
      <c r="AJ33" s="2">
        <f t="shared" ca="1" si="8"/>
        <v>1319791.6666666665</v>
      </c>
      <c r="AK33" s="2">
        <f t="shared" ca="1" si="8"/>
        <v>1418958.3333333333</v>
      </c>
      <c r="AL33" s="2">
        <f t="shared" ca="1" si="8"/>
        <v>1461250</v>
      </c>
      <c r="AM33" s="2">
        <f t="shared" ca="1" si="8"/>
        <v>1506458.3333333333</v>
      </c>
      <c r="AN33" s="2">
        <f t="shared" ca="1" si="8"/>
        <v>1569166.6666666665</v>
      </c>
      <c r="AO33" s="2">
        <f t="shared" ca="1" si="8"/>
        <v>1572083.3333333333</v>
      </c>
      <c r="AP33" s="2">
        <f t="shared" ca="1" si="8"/>
        <v>1575000</v>
      </c>
      <c r="AQ33" s="2">
        <f t="shared" ca="1" si="8"/>
        <v>1599791.6666666667</v>
      </c>
      <c r="AR33" s="2">
        <f t="shared" ca="1" si="8"/>
        <v>1631875</v>
      </c>
      <c r="AS33" s="2">
        <f t="shared" ca="1" si="8"/>
        <v>1685833.3333333333</v>
      </c>
      <c r="AT33" s="2">
        <f t="shared" ca="1" si="8"/>
        <v>1743968.9584871233</v>
      </c>
      <c r="AU33" s="2">
        <f t="shared" ca="1" si="8"/>
        <v>1812521.1816366133</v>
      </c>
      <c r="AV33" s="2">
        <f t="shared" ca="1" si="8"/>
        <v>1890375.0656791781</v>
      </c>
      <c r="AW33" s="2">
        <f t="shared" ca="1" si="8"/>
        <v>1976349.3759020546</v>
      </c>
      <c r="AX33" s="2">
        <f t="shared" ca="1" si="8"/>
        <v>2069192.6377212948</v>
      </c>
      <c r="AY33" s="2">
        <f t="shared" ca="1" si="8"/>
        <v>2174870.6266683424</v>
      </c>
      <c r="AZ33" s="2">
        <f t="shared" ca="1" si="8"/>
        <v>2291978.610018292</v>
      </c>
      <c r="BA33" s="2">
        <f t="shared" ca="1" si="8"/>
        <v>2411736.6586250002</v>
      </c>
      <c r="BB33" s="2">
        <f t="shared" ca="1" si="8"/>
        <v>2547151.3466500752</v>
      </c>
      <c r="BC33" s="2">
        <f t="shared" ca="1" si="8"/>
        <v>2689260.4892757148</v>
      </c>
      <c r="BD33" s="2">
        <f t="shared" ca="1" si="8"/>
        <v>2850877.567505667</v>
      </c>
      <c r="BE33" s="2">
        <f t="shared" ca="1" si="8"/>
        <v>3022835.8214476039</v>
      </c>
      <c r="BF33" s="2">
        <f t="shared" ca="1" si="8"/>
        <v>3178940.3256971207</v>
      </c>
      <c r="BG33" s="2">
        <f t="shared" ca="1" si="8"/>
        <v>3347273.8592713708</v>
      </c>
      <c r="BH33" s="2">
        <f t="shared" ca="1" si="8"/>
        <v>3525606.5479651038</v>
      </c>
      <c r="BI33" s="2">
        <f t="shared" ca="1" si="8"/>
        <v>3726159.2556861276</v>
      </c>
      <c r="BJ33" s="2">
        <f t="shared" ca="1" si="8"/>
        <v>3876137.3665998778</v>
      </c>
      <c r="BK33" s="2">
        <f t="shared" ca="1" si="8"/>
        <v>4040555.7651025774</v>
      </c>
      <c r="BL33" s="2">
        <f t="shared" ca="1" si="8"/>
        <v>4216604.9857444139</v>
      </c>
      <c r="BM33" s="2">
        <f t="shared" ca="1" si="8"/>
        <v>4352891.8368997676</v>
      </c>
      <c r="BN33" s="2">
        <f t="shared" ca="1" si="8"/>
        <v>4499346.133558521</v>
      </c>
      <c r="BO33" s="2">
        <f t="shared" ca="1" si="8"/>
        <v>4667210.1727517368</v>
      </c>
      <c r="BP33" s="2">
        <f t="shared" ca="1" si="8"/>
        <v>4845652.5831535785</v>
      </c>
      <c r="BQ33" s="2">
        <f t="shared" ca="1" si="8"/>
        <v>5045506.5116460565</v>
      </c>
    </row>
    <row r="34" spans="1:69" s="86" customFormat="1">
      <c r="A34" s="63"/>
      <c r="B34" s="63"/>
      <c r="C34" s="89"/>
      <c r="D34" s="91"/>
      <c r="E34" s="33" t="str">
        <f xml:space="preserve"> LEFT($E$33, LEN($E$33) - 3 )</f>
        <v xml:space="preserve">Depreciation </v>
      </c>
      <c r="F34" s="33"/>
      <c r="G34" s="33" t="str">
        <f xml:space="preserve"> G$33</f>
        <v>GBP</v>
      </c>
      <c r="H34" s="33"/>
      <c r="I34" s="33"/>
      <c r="J34" s="11">
        <f t="shared" ref="J34:BQ34" ca="1" si="9" xml:space="preserve"> -1 * J33</f>
        <v>0</v>
      </c>
      <c r="K34" s="11">
        <f t="shared" ca="1" si="9"/>
        <v>-7291.666666666667</v>
      </c>
      <c r="L34" s="11">
        <f t="shared" ca="1" si="9"/>
        <v>0</v>
      </c>
      <c r="M34" s="11">
        <f t="shared" ca="1" si="9"/>
        <v>7291.666666666667</v>
      </c>
      <c r="N34" s="11">
        <f t="shared" ca="1" si="9"/>
        <v>14583.333333333334</v>
      </c>
      <c r="O34" s="11">
        <f t="shared" ca="1" si="9"/>
        <v>-7291.6666666666661</v>
      </c>
      <c r="P34" s="11">
        <f t="shared" ca="1" si="9"/>
        <v>-14583.333333333332</v>
      </c>
      <c r="Q34" s="11">
        <f t="shared" ca="1" si="9"/>
        <v>-36458.333333333328</v>
      </c>
      <c r="R34" s="11">
        <f t="shared" ca="1" si="9"/>
        <v>-43749.999999999993</v>
      </c>
      <c r="S34" s="11">
        <f t="shared" ca="1" si="9"/>
        <v>-80208.333333333328</v>
      </c>
      <c r="T34" s="11">
        <f t="shared" ca="1" si="9"/>
        <v>-116666.66666666666</v>
      </c>
      <c r="U34" s="11">
        <f t="shared" ca="1" si="9"/>
        <v>-167708.33333333331</v>
      </c>
      <c r="V34" s="11">
        <f t="shared" ca="1" si="9"/>
        <v>-233333.33333333331</v>
      </c>
      <c r="W34" s="11">
        <f t="shared" ca="1" si="9"/>
        <v>-298958.33333333331</v>
      </c>
      <c r="X34" s="11">
        <f t="shared" ca="1" si="9"/>
        <v>-371875</v>
      </c>
      <c r="Y34" s="11">
        <f t="shared" ca="1" si="9"/>
        <v>-444791.66666666669</v>
      </c>
      <c r="Z34" s="11">
        <f t="shared" ca="1" si="9"/>
        <v>-517708.33333333337</v>
      </c>
      <c r="AA34" s="11">
        <f t="shared" ca="1" si="9"/>
        <v>-583333.33333333337</v>
      </c>
      <c r="AB34" s="11">
        <f t="shared" ca="1" si="9"/>
        <v>-656250</v>
      </c>
      <c r="AC34" s="11">
        <f t="shared" ca="1" si="9"/>
        <v>-721875</v>
      </c>
      <c r="AD34" s="11">
        <f t="shared" ca="1" si="9"/>
        <v>-802083.33333333337</v>
      </c>
      <c r="AE34" s="11">
        <f t="shared" ca="1" si="9"/>
        <v>-882291.66666666674</v>
      </c>
      <c r="AF34" s="11">
        <f t="shared" ca="1" si="9"/>
        <v>-969791.66666666674</v>
      </c>
      <c r="AG34" s="11">
        <f t="shared" ca="1" si="9"/>
        <v>-1071875</v>
      </c>
      <c r="AH34" s="11">
        <f t="shared" ca="1" si="9"/>
        <v>-1146250</v>
      </c>
      <c r="AI34" s="11">
        <f t="shared" ca="1" si="9"/>
        <v>-1226458.3333333333</v>
      </c>
      <c r="AJ34" s="11">
        <f t="shared" ca="1" si="9"/>
        <v>-1319791.6666666665</v>
      </c>
      <c r="AK34" s="11">
        <f t="shared" ca="1" si="9"/>
        <v>-1418958.3333333333</v>
      </c>
      <c r="AL34" s="11">
        <f t="shared" ca="1" si="9"/>
        <v>-1461250</v>
      </c>
      <c r="AM34" s="11">
        <f t="shared" ca="1" si="9"/>
        <v>-1506458.3333333333</v>
      </c>
      <c r="AN34" s="11">
        <f t="shared" ca="1" si="9"/>
        <v>-1569166.6666666665</v>
      </c>
      <c r="AO34" s="11">
        <f t="shared" ca="1" si="9"/>
        <v>-1572083.3333333333</v>
      </c>
      <c r="AP34" s="11">
        <f t="shared" ca="1" si="9"/>
        <v>-1575000</v>
      </c>
      <c r="AQ34" s="11">
        <f t="shared" ca="1" si="9"/>
        <v>-1599791.6666666667</v>
      </c>
      <c r="AR34" s="11">
        <f t="shared" ca="1" si="9"/>
        <v>-1631875</v>
      </c>
      <c r="AS34" s="11">
        <f t="shared" ca="1" si="9"/>
        <v>-1685833.3333333333</v>
      </c>
      <c r="AT34" s="11">
        <f t="shared" ca="1" si="9"/>
        <v>-1743968.9584871233</v>
      </c>
      <c r="AU34" s="11">
        <f t="shared" ca="1" si="9"/>
        <v>-1812521.1816366133</v>
      </c>
      <c r="AV34" s="11">
        <f t="shared" ca="1" si="9"/>
        <v>-1890375.0656791781</v>
      </c>
      <c r="AW34" s="11">
        <f t="shared" ca="1" si="9"/>
        <v>-1976349.3759020546</v>
      </c>
      <c r="AX34" s="11">
        <f t="shared" ca="1" si="9"/>
        <v>-2069192.6377212948</v>
      </c>
      <c r="AY34" s="11">
        <f t="shared" ca="1" si="9"/>
        <v>-2174870.6266683424</v>
      </c>
      <c r="AZ34" s="11">
        <f t="shared" ca="1" si="9"/>
        <v>-2291978.610018292</v>
      </c>
      <c r="BA34" s="11">
        <f t="shared" ca="1" si="9"/>
        <v>-2411736.6586250002</v>
      </c>
      <c r="BB34" s="11">
        <f t="shared" ca="1" si="9"/>
        <v>-2547151.3466500752</v>
      </c>
      <c r="BC34" s="11">
        <f t="shared" ca="1" si="9"/>
        <v>-2689260.4892757148</v>
      </c>
      <c r="BD34" s="11">
        <f t="shared" ca="1" si="9"/>
        <v>-2850877.567505667</v>
      </c>
      <c r="BE34" s="11">
        <f t="shared" ca="1" si="9"/>
        <v>-3022835.8214476039</v>
      </c>
      <c r="BF34" s="11">
        <f t="shared" ca="1" si="9"/>
        <v>-3178940.3256971207</v>
      </c>
      <c r="BG34" s="11">
        <f t="shared" ca="1" si="9"/>
        <v>-3347273.8592713708</v>
      </c>
      <c r="BH34" s="11">
        <f t="shared" ca="1" si="9"/>
        <v>-3525606.5479651038</v>
      </c>
      <c r="BI34" s="11">
        <f t="shared" ca="1" si="9"/>
        <v>-3726159.2556861276</v>
      </c>
      <c r="BJ34" s="11">
        <f t="shared" ca="1" si="9"/>
        <v>-3876137.3665998778</v>
      </c>
      <c r="BK34" s="11">
        <f t="shared" ca="1" si="9"/>
        <v>-4040555.7651025774</v>
      </c>
      <c r="BL34" s="11">
        <f t="shared" ca="1" si="9"/>
        <v>-4216604.9857444139</v>
      </c>
      <c r="BM34" s="11">
        <f t="shared" ca="1" si="9"/>
        <v>-4352891.8368997676</v>
      </c>
      <c r="BN34" s="11">
        <f t="shared" ca="1" si="9"/>
        <v>-4499346.133558521</v>
      </c>
      <c r="BO34" s="11">
        <f t="shared" ca="1" si="9"/>
        <v>-4667210.1727517368</v>
      </c>
      <c r="BP34" s="11">
        <f t="shared" ca="1" si="9"/>
        <v>-4845652.5831535785</v>
      </c>
      <c r="BQ34" s="11">
        <f t="shared" ca="1" si="9"/>
        <v>-5045506.5116460565</v>
      </c>
    </row>
    <row r="37" spans="1:69">
      <c r="B37" s="25" t="s">
        <v>271</v>
      </c>
    </row>
  </sheetData>
  <conditionalFormatting sqref="F2:F3">
    <cfRule type="cellIs" dxfId="217" priority="1" stopIfTrue="1" operator="notEqual">
      <formula>0</formula>
    </cfRule>
    <cfRule type="cellIs" dxfId="216" priority="2" stopIfTrue="1" operator="equal">
      <formula>""</formula>
    </cfRule>
  </conditionalFormatting>
  <conditionalFormatting sqref="J3:BQ3">
    <cfRule type="cellIs" dxfId="215" priority="8" operator="equal">
      <formula>"PPA ext."</formula>
    </cfRule>
    <cfRule type="cellIs" dxfId="214" priority="9" operator="equal">
      <formula>"Delay"</formula>
    </cfRule>
    <cfRule type="cellIs" dxfId="213" priority="10" operator="equal">
      <formula>"Fin Close"</formula>
    </cfRule>
    <cfRule type="cellIs" dxfId="212" priority="11" stopIfTrue="1" operator="equal">
      <formula>"Construction"</formula>
    </cfRule>
    <cfRule type="cellIs" dxfId="211"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64.88671875" style="47" bestFit="1" customWidth="1"/>
    <col min="6" max="6" width="20.5546875" style="47" bestFit="1" customWidth="1"/>
    <col min="7" max="7" width="13.21875" style="47" bestFit="1" customWidth="1"/>
    <col min="8" max="8" width="16.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Expense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324</v>
      </c>
    </row>
    <row r="9" spans="1:69" outlineLevel="1">
      <c r="A9" s="18"/>
      <c r="B9" s="18"/>
      <c r="C9" s="28"/>
      <c r="D9" s="27"/>
      <c r="E9" s="43" t="str">
        <f xml:space="preserve">  InpC!E$86</f>
        <v>VAT rate</v>
      </c>
      <c r="F9" s="43">
        <f xml:space="preserve">  InpC!F$86</f>
        <v>0.2</v>
      </c>
      <c r="G9" s="43" t="str">
        <f xml:space="preserve">  InpC!G$86</f>
        <v>%</v>
      </c>
      <c r="M9" s="57"/>
    </row>
    <row r="10" spans="1:69" outlineLevel="1">
      <c r="A10" s="18"/>
      <c r="B10" s="18"/>
      <c r="C10" s="28"/>
      <c r="D10" s="27"/>
      <c r="E10" s="43" t="str">
        <f xml:space="preserve">  InpC!E$85</f>
        <v>Percentage of expense subject to VAT</v>
      </c>
      <c r="F10" s="43">
        <f xml:space="preserve">  InpC!F$85</f>
        <v>0.5</v>
      </c>
      <c r="G10" s="43" t="str">
        <f xml:space="preserve">  InpC!G$85</f>
        <v>%</v>
      </c>
      <c r="M10" s="57"/>
    </row>
    <row r="11" spans="1:69" outlineLevel="1">
      <c r="E11" s="2" t="str">
        <f t="shared" ref="E11:BQ11" si="0" xml:space="preserve">  E$19</f>
        <v>Fixed operating expense POS</v>
      </c>
      <c r="F11" s="2">
        <f t="shared" si="0"/>
        <v>0</v>
      </c>
      <c r="G11" s="2" t="str">
        <f t="shared" si="0"/>
        <v>GBP</v>
      </c>
      <c r="H11" s="2">
        <f t="shared" si="0"/>
        <v>1899484.1637263105</v>
      </c>
      <c r="I11" s="2">
        <f t="shared" si="0"/>
        <v>0</v>
      </c>
      <c r="J11" s="2">
        <f t="shared" si="0"/>
        <v>25000</v>
      </c>
      <c r="K11" s="2">
        <f t="shared" si="0"/>
        <v>25000</v>
      </c>
      <c r="L11" s="2">
        <f t="shared" si="0"/>
        <v>25000</v>
      </c>
      <c r="M11" s="2">
        <f t="shared" si="0"/>
        <v>25607.856851345517</v>
      </c>
      <c r="N11" s="2">
        <f t="shared" si="0"/>
        <v>25607.856851345517</v>
      </c>
      <c r="O11" s="2">
        <f t="shared" si="0"/>
        <v>25607.856851345517</v>
      </c>
      <c r="P11" s="2">
        <f t="shared" si="0"/>
        <v>26230.493300760143</v>
      </c>
      <c r="Q11" s="2">
        <f t="shared" si="0"/>
        <v>26230.493300760143</v>
      </c>
      <c r="R11" s="2">
        <f t="shared" si="0"/>
        <v>26230.493300760143</v>
      </c>
      <c r="S11" s="2">
        <f t="shared" si="0"/>
        <v>26868.268703441732</v>
      </c>
      <c r="T11" s="2">
        <f t="shared" si="0"/>
        <v>26868.268703441732</v>
      </c>
      <c r="U11" s="2">
        <f t="shared" si="0"/>
        <v>26868.268703441732</v>
      </c>
      <c r="V11" s="2">
        <f t="shared" si="0"/>
        <v>27500.000000000004</v>
      </c>
      <c r="W11" s="2">
        <f t="shared" si="0"/>
        <v>27500.000000000004</v>
      </c>
      <c r="X11" s="2">
        <f t="shared" si="0"/>
        <v>27500.000000000004</v>
      </c>
      <c r="Y11" s="2">
        <f t="shared" si="0"/>
        <v>28171.389663808775</v>
      </c>
      <c r="Z11" s="2">
        <f t="shared" si="0"/>
        <v>28171.389663808775</v>
      </c>
      <c r="AA11" s="2">
        <f t="shared" si="0"/>
        <v>28171.389663808775</v>
      </c>
      <c r="AB11" s="2">
        <f t="shared" si="0"/>
        <v>28855.408240598044</v>
      </c>
      <c r="AC11" s="2">
        <f t="shared" si="0"/>
        <v>28855.408240598044</v>
      </c>
      <c r="AD11" s="2">
        <f t="shared" si="0"/>
        <v>28855.408240598044</v>
      </c>
      <c r="AE11" s="2">
        <f t="shared" si="0"/>
        <v>29558.292610174307</v>
      </c>
      <c r="AF11" s="2">
        <f t="shared" si="0"/>
        <v>29558.292610174307</v>
      </c>
      <c r="AG11" s="2">
        <f t="shared" si="0"/>
        <v>29558.292610174307</v>
      </c>
      <c r="AH11" s="2">
        <f t="shared" si="0"/>
        <v>30252.630710131383</v>
      </c>
      <c r="AI11" s="2">
        <f t="shared" si="0"/>
        <v>30252.630710131383</v>
      </c>
      <c r="AJ11" s="2">
        <f t="shared" si="0"/>
        <v>30252.630710131383</v>
      </c>
      <c r="AK11" s="2">
        <f t="shared" si="0"/>
        <v>30987.522236491855</v>
      </c>
      <c r="AL11" s="2">
        <f t="shared" si="0"/>
        <v>30987.522236491855</v>
      </c>
      <c r="AM11" s="2">
        <f t="shared" si="0"/>
        <v>30987.522236491855</v>
      </c>
      <c r="AN11" s="2">
        <f t="shared" si="0"/>
        <v>31740.265617148605</v>
      </c>
      <c r="AO11" s="2">
        <f t="shared" si="0"/>
        <v>31740.265617148605</v>
      </c>
      <c r="AP11" s="2">
        <f t="shared" si="0"/>
        <v>31740.265617148605</v>
      </c>
      <c r="AQ11" s="2">
        <f t="shared" si="0"/>
        <v>32513.243252308428</v>
      </c>
      <c r="AR11" s="2">
        <f t="shared" si="0"/>
        <v>32513.243252308428</v>
      </c>
      <c r="AS11" s="2">
        <f t="shared" si="0"/>
        <v>32513.243252308428</v>
      </c>
      <c r="AT11" s="2">
        <f t="shared" si="0"/>
        <v>33277.170807448252</v>
      </c>
      <c r="AU11" s="2">
        <f t="shared" si="0"/>
        <v>33277.170807448252</v>
      </c>
      <c r="AV11" s="2">
        <f t="shared" si="0"/>
        <v>33277.170807448252</v>
      </c>
      <c r="AW11" s="2">
        <f t="shared" si="0"/>
        <v>34085.720578240354</v>
      </c>
      <c r="AX11" s="2">
        <f t="shared" si="0"/>
        <v>34085.720578240354</v>
      </c>
      <c r="AY11" s="2">
        <f t="shared" si="0"/>
        <v>34085.720578240354</v>
      </c>
      <c r="AZ11" s="2">
        <f t="shared" si="0"/>
        <v>34913.916031522422</v>
      </c>
      <c r="BA11" s="2">
        <f t="shared" si="0"/>
        <v>34913.916031522422</v>
      </c>
      <c r="BB11" s="2">
        <f t="shared" si="0"/>
        <v>34913.916031522422</v>
      </c>
      <c r="BC11" s="2">
        <f t="shared" si="0"/>
        <v>35763.987489903346</v>
      </c>
      <c r="BD11" s="2">
        <f t="shared" si="0"/>
        <v>35763.987489903346</v>
      </c>
      <c r="BE11" s="2">
        <f t="shared" si="0"/>
        <v>35763.987489903346</v>
      </c>
      <c r="BF11" s="2">
        <f t="shared" si="0"/>
        <v>36604.410559640419</v>
      </c>
      <c r="BG11" s="2">
        <f t="shared" si="0"/>
        <v>36604.410559640419</v>
      </c>
      <c r="BH11" s="2">
        <f t="shared" si="0"/>
        <v>36604.410559640419</v>
      </c>
      <c r="BI11" s="2">
        <f t="shared" si="0"/>
        <v>37493.926945298947</v>
      </c>
      <c r="BJ11" s="2">
        <f t="shared" si="0"/>
        <v>37493.926945298947</v>
      </c>
      <c r="BK11" s="2">
        <f t="shared" si="0"/>
        <v>37493.926945298947</v>
      </c>
      <c r="BL11" s="2">
        <f t="shared" si="0"/>
        <v>38405.059288932411</v>
      </c>
      <c r="BM11" s="2">
        <f t="shared" si="0"/>
        <v>38405.059288932411</v>
      </c>
      <c r="BN11" s="2">
        <f t="shared" si="0"/>
        <v>38405.059288932411</v>
      </c>
      <c r="BO11" s="2">
        <f t="shared" si="0"/>
        <v>39331.82502157487</v>
      </c>
      <c r="BP11" s="2">
        <f t="shared" si="0"/>
        <v>39331.82502157487</v>
      </c>
      <c r="BQ11" s="2">
        <f t="shared" si="0"/>
        <v>39331.82502157487</v>
      </c>
    </row>
    <row r="12" spans="1:69" outlineLevel="1">
      <c r="E12" s="2" t="str">
        <f t="shared" ref="E12:BQ12" si="1" xml:space="preserve">  E$26</f>
        <v>Variable Operating expense POS</v>
      </c>
      <c r="F12" s="2">
        <f t="shared" si="1"/>
        <v>0</v>
      </c>
      <c r="G12" s="2" t="str">
        <f t="shared" si="1"/>
        <v>GBP</v>
      </c>
      <c r="H12" s="2">
        <f t="shared" ca="1" si="1"/>
        <v>69258760.470558211</v>
      </c>
      <c r="I12" s="2">
        <f t="shared" si="1"/>
        <v>0</v>
      </c>
      <c r="J12" s="2">
        <f t="shared" ca="1" si="1"/>
        <v>42000</v>
      </c>
      <c r="K12" s="2">
        <f t="shared" ca="1" si="1"/>
        <v>42000</v>
      </c>
      <c r="L12" s="2">
        <f t="shared" ca="1" si="1"/>
        <v>42000</v>
      </c>
      <c r="M12" s="2">
        <f t="shared" ca="1" si="1"/>
        <v>42000</v>
      </c>
      <c r="N12" s="2">
        <f t="shared" ca="1" si="1"/>
        <v>126000</v>
      </c>
      <c r="O12" s="2">
        <f t="shared" ca="1" si="1"/>
        <v>126000</v>
      </c>
      <c r="P12" s="2">
        <f t="shared" ca="1" si="1"/>
        <v>126000</v>
      </c>
      <c r="Q12" s="2">
        <f t="shared" ca="1" si="1"/>
        <v>210000</v>
      </c>
      <c r="R12" s="2">
        <f t="shared" ca="1" si="1"/>
        <v>210000</v>
      </c>
      <c r="S12" s="2">
        <f t="shared" ca="1" si="1"/>
        <v>210000</v>
      </c>
      <c r="T12" s="2">
        <f t="shared" ca="1" si="1"/>
        <v>210000</v>
      </c>
      <c r="U12" s="2">
        <f t="shared" ca="1" si="1"/>
        <v>210000</v>
      </c>
      <c r="V12" s="2">
        <f t="shared" ca="1" si="1"/>
        <v>222487.24981545203</v>
      </c>
      <c r="W12" s="2">
        <f t="shared" ca="1" si="1"/>
        <v>235717.0301449683</v>
      </c>
      <c r="X12" s="2">
        <f t="shared" ca="1" si="1"/>
        <v>249733.49415057144</v>
      </c>
      <c r="Y12" s="2">
        <f t="shared" ca="1" si="1"/>
        <v>264583.42047792341</v>
      </c>
      <c r="Z12" s="2">
        <f t="shared" ca="1" si="1"/>
        <v>280316.36937570723</v>
      </c>
      <c r="AA12" s="2">
        <f t="shared" ca="1" si="1"/>
        <v>296984.84809834993</v>
      </c>
      <c r="AB12" s="2">
        <f t="shared" ca="1" si="1"/>
        <v>314644.48614410311</v>
      </c>
      <c r="AC12" s="2">
        <f t="shared" ca="1" si="1"/>
        <v>333354.22091332194</v>
      </c>
      <c r="AD12" s="2">
        <f t="shared" ca="1" si="1"/>
        <v>353176.4944065602</v>
      </c>
      <c r="AE12" s="2">
        <f t="shared" ca="1" si="1"/>
        <v>374177.46161894262</v>
      </c>
      <c r="AF12" s="2">
        <f t="shared" ca="1" si="1"/>
        <v>396427.21132631134</v>
      </c>
      <c r="AG12" s="2">
        <f t="shared" ca="1" si="1"/>
        <v>420000.00000000012</v>
      </c>
      <c r="AH12" s="2">
        <f t="shared" ca="1" si="1"/>
        <v>482774.49963090406</v>
      </c>
      <c r="AI12" s="2">
        <f t="shared" ca="1" si="1"/>
        <v>509234.06028993672</v>
      </c>
      <c r="AJ12" s="2">
        <f t="shared" ca="1" si="1"/>
        <v>537266.98830114293</v>
      </c>
      <c r="AK12" s="2">
        <f t="shared" ca="1" si="1"/>
        <v>566966.84095584694</v>
      </c>
      <c r="AL12" s="2">
        <f t="shared" ca="1" si="1"/>
        <v>674032.73875141481</v>
      </c>
      <c r="AM12" s="2">
        <f t="shared" ca="1" si="1"/>
        <v>707369.69619670033</v>
      </c>
      <c r="AN12" s="2">
        <f t="shared" ca="1" si="1"/>
        <v>742688.9722882068</v>
      </c>
      <c r="AO12" s="2">
        <f t="shared" ca="1" si="1"/>
        <v>855708.44182664424</v>
      </c>
      <c r="AP12" s="2">
        <f t="shared" ca="1" si="1"/>
        <v>895352.98881312052</v>
      </c>
      <c r="AQ12" s="2">
        <f t="shared" ca="1" si="1"/>
        <v>937354.92323788558</v>
      </c>
      <c r="AR12" s="2">
        <f t="shared" ca="1" si="1"/>
        <v>981854.42265262292</v>
      </c>
      <c r="AS12" s="2">
        <f t="shared" ca="1" si="1"/>
        <v>1029000.0000000005</v>
      </c>
      <c r="AT12" s="2">
        <f t="shared" ca="1" si="1"/>
        <v>1090187.5240957155</v>
      </c>
      <c r="AU12" s="2">
        <f t="shared" ca="1" si="1"/>
        <v>1155013.4477103457</v>
      </c>
      <c r="AV12" s="2">
        <f t="shared" ca="1" si="1"/>
        <v>1223694.121337801</v>
      </c>
      <c r="AW12" s="2">
        <f t="shared" ca="1" si="1"/>
        <v>1296458.7603418257</v>
      </c>
      <c r="AX12" s="2">
        <f t="shared" ca="1" si="1"/>
        <v>1373550.2099409667</v>
      </c>
      <c r="AY12" s="2">
        <f t="shared" ca="1" si="1"/>
        <v>1455225.7556819161</v>
      </c>
      <c r="AZ12" s="2">
        <f t="shared" ca="1" si="1"/>
        <v>1541757.9821061066</v>
      </c>
      <c r="BA12" s="2">
        <f t="shared" ca="1" si="1"/>
        <v>1633435.6824752789</v>
      </c>
      <c r="BB12" s="2">
        <f t="shared" ca="1" si="1"/>
        <v>1730564.822592146</v>
      </c>
      <c r="BC12" s="2">
        <f t="shared" ca="1" si="1"/>
        <v>1833469.5619328201</v>
      </c>
      <c r="BD12" s="2">
        <f t="shared" ca="1" si="1"/>
        <v>1942493.3354989272</v>
      </c>
      <c r="BE12" s="2">
        <f t="shared" ca="1" si="1"/>
        <v>2058000.0000000023</v>
      </c>
      <c r="BF12" s="2">
        <f t="shared" ca="1" si="1"/>
        <v>2180375.0481914324</v>
      </c>
      <c r="BG12" s="2">
        <f t="shared" ca="1" si="1"/>
        <v>2310026.8954206924</v>
      </c>
      <c r="BH12" s="2">
        <f t="shared" ca="1" si="1"/>
        <v>2447388.2426756029</v>
      </c>
      <c r="BI12" s="2">
        <f t="shared" ca="1" si="1"/>
        <v>2592917.5206836523</v>
      </c>
      <c r="BJ12" s="2">
        <f t="shared" ca="1" si="1"/>
        <v>2747100.4198819343</v>
      </c>
      <c r="BK12" s="2">
        <f t="shared" ca="1" si="1"/>
        <v>2910451.5113638337</v>
      </c>
      <c r="BL12" s="2">
        <f t="shared" ca="1" si="1"/>
        <v>3083515.9642122155</v>
      </c>
      <c r="BM12" s="2">
        <f t="shared" ca="1" si="1"/>
        <v>3266871.36495056</v>
      </c>
      <c r="BN12" s="2">
        <f t="shared" ca="1" si="1"/>
        <v>3461129.6451842943</v>
      </c>
      <c r="BO12" s="2">
        <f t="shared" ca="1" si="1"/>
        <v>3666939.1238656417</v>
      </c>
      <c r="BP12" s="2">
        <f t="shared" ca="1" si="1"/>
        <v>3884986.6709978567</v>
      </c>
      <c r="BQ12" s="2">
        <f t="shared" ca="1" si="1"/>
        <v>4116000.000000007</v>
      </c>
    </row>
    <row r="13" spans="1:69" outlineLevel="1">
      <c r="A13" s="34"/>
      <c r="B13" s="34"/>
      <c r="C13" s="64"/>
      <c r="D13" s="65"/>
      <c r="E13" s="21" t="s">
        <v>324</v>
      </c>
      <c r="F13" s="21"/>
      <c r="G13" s="21" t="s">
        <v>257</v>
      </c>
      <c r="H13" s="3">
        <f ca="1" xml:space="preserve"> SUM( J13:BQ13 )</f>
        <v>7115824.4634284526</v>
      </c>
      <c r="I13" s="21"/>
      <c r="J13" s="3">
        <f t="shared" ref="J13:BQ13" ca="1" si="2" xml:space="preserve">  $F9 * $F10 * ( J11 + J12 )</f>
        <v>6700</v>
      </c>
      <c r="K13" s="3">
        <f t="shared" ca="1" si="2"/>
        <v>6700</v>
      </c>
      <c r="L13" s="3">
        <f t="shared" ca="1" si="2"/>
        <v>6700</v>
      </c>
      <c r="M13" s="3">
        <f t="shared" ca="1" si="2"/>
        <v>6760.7856851345514</v>
      </c>
      <c r="N13" s="3">
        <f t="shared" ca="1" si="2"/>
        <v>15160.785685134551</v>
      </c>
      <c r="O13" s="3">
        <f t="shared" ca="1" si="2"/>
        <v>15160.785685134551</v>
      </c>
      <c r="P13" s="3">
        <f t="shared" ca="1" si="2"/>
        <v>15223.049330076014</v>
      </c>
      <c r="Q13" s="3">
        <f t="shared" ca="1" si="2"/>
        <v>23623.049330076014</v>
      </c>
      <c r="R13" s="3">
        <f t="shared" ca="1" si="2"/>
        <v>23623.049330076014</v>
      </c>
      <c r="S13" s="3">
        <f t="shared" ca="1" si="2"/>
        <v>23686.826870344172</v>
      </c>
      <c r="T13" s="3">
        <f t="shared" ca="1" si="2"/>
        <v>23686.826870344172</v>
      </c>
      <c r="U13" s="3">
        <f t="shared" ca="1" si="2"/>
        <v>23686.826870344172</v>
      </c>
      <c r="V13" s="3">
        <f t="shared" ca="1" si="2"/>
        <v>24998.724981545205</v>
      </c>
      <c r="W13" s="3">
        <f t="shared" ca="1" si="2"/>
        <v>26321.70301449683</v>
      </c>
      <c r="X13" s="3">
        <f t="shared" ca="1" si="2"/>
        <v>27723.34941505715</v>
      </c>
      <c r="Y13" s="3">
        <f t="shared" ca="1" si="2"/>
        <v>29275.481014173223</v>
      </c>
      <c r="Z13" s="3">
        <f t="shared" ca="1" si="2"/>
        <v>30848.775903951599</v>
      </c>
      <c r="AA13" s="3">
        <f t="shared" ca="1" si="2"/>
        <v>32515.623776215874</v>
      </c>
      <c r="AB13" s="3">
        <f t="shared" ca="1" si="2"/>
        <v>34349.989438470118</v>
      </c>
      <c r="AC13" s="3">
        <f t="shared" ca="1" si="2"/>
        <v>36220.962915392003</v>
      </c>
      <c r="AD13" s="3">
        <f t="shared" ca="1" si="2"/>
        <v>38203.190264715828</v>
      </c>
      <c r="AE13" s="3">
        <f t="shared" ca="1" si="2"/>
        <v>40373.575422911701</v>
      </c>
      <c r="AF13" s="3">
        <f t="shared" ca="1" si="2"/>
        <v>42598.550393648562</v>
      </c>
      <c r="AG13" s="3">
        <f t="shared" ca="1" si="2"/>
        <v>44955.829261017439</v>
      </c>
      <c r="AH13" s="3">
        <f t="shared" ca="1" si="2"/>
        <v>51302.713034103544</v>
      </c>
      <c r="AI13" s="3">
        <f t="shared" ca="1" si="2"/>
        <v>53948.669100006809</v>
      </c>
      <c r="AJ13" s="3">
        <f t="shared" ca="1" si="2"/>
        <v>56751.961901127434</v>
      </c>
      <c r="AK13" s="3">
        <f t="shared" ca="1" si="2"/>
        <v>59795.436319233886</v>
      </c>
      <c r="AL13" s="3">
        <f t="shared" ca="1" si="2"/>
        <v>70502.02609879068</v>
      </c>
      <c r="AM13" s="3">
        <f t="shared" ca="1" si="2"/>
        <v>73835.721843319232</v>
      </c>
      <c r="AN13" s="3">
        <f t="shared" ca="1" si="2"/>
        <v>77442.92379053554</v>
      </c>
      <c r="AO13" s="3">
        <f t="shared" ca="1" si="2"/>
        <v>88744.870744379296</v>
      </c>
      <c r="AP13" s="3">
        <f t="shared" ca="1" si="2"/>
        <v>92709.325443026915</v>
      </c>
      <c r="AQ13" s="3">
        <f t="shared" ca="1" si="2"/>
        <v>96986.816649019413</v>
      </c>
      <c r="AR13" s="3">
        <f t="shared" ca="1" si="2"/>
        <v>101436.76659049315</v>
      </c>
      <c r="AS13" s="3">
        <f t="shared" ca="1" si="2"/>
        <v>106151.32432523089</v>
      </c>
      <c r="AT13" s="3">
        <f t="shared" ca="1" si="2"/>
        <v>112346.46949031638</v>
      </c>
      <c r="AU13" s="3">
        <f t="shared" ca="1" si="2"/>
        <v>118829.06185177941</v>
      </c>
      <c r="AV13" s="3">
        <f t="shared" ca="1" si="2"/>
        <v>125697.12921452493</v>
      </c>
      <c r="AW13" s="3">
        <f t="shared" ca="1" si="2"/>
        <v>133054.44809200661</v>
      </c>
      <c r="AX13" s="3">
        <f t="shared" ca="1" si="2"/>
        <v>140763.59305192073</v>
      </c>
      <c r="AY13" s="3">
        <f t="shared" ca="1" si="2"/>
        <v>148931.14762601568</v>
      </c>
      <c r="AZ13" s="3">
        <f t="shared" ca="1" si="2"/>
        <v>157667.1898137629</v>
      </c>
      <c r="BA13" s="3">
        <f t="shared" ca="1" si="2"/>
        <v>166834.95985068014</v>
      </c>
      <c r="BB13" s="3">
        <f t="shared" ca="1" si="2"/>
        <v>176547.87386236686</v>
      </c>
      <c r="BC13" s="3">
        <f t="shared" ca="1" si="2"/>
        <v>186923.35494227236</v>
      </c>
      <c r="BD13" s="3">
        <f t="shared" ca="1" si="2"/>
        <v>197825.73229888306</v>
      </c>
      <c r="BE13" s="3">
        <f t="shared" ca="1" si="2"/>
        <v>209376.39874899058</v>
      </c>
      <c r="BF13" s="3">
        <f t="shared" ca="1" si="2"/>
        <v>221697.94587510728</v>
      </c>
      <c r="BG13" s="3">
        <f t="shared" ca="1" si="2"/>
        <v>234663.13059803328</v>
      </c>
      <c r="BH13" s="3">
        <f t="shared" ca="1" si="2"/>
        <v>248399.26532352433</v>
      </c>
      <c r="BI13" s="3">
        <f t="shared" ca="1" si="2"/>
        <v>263041.14476289513</v>
      </c>
      <c r="BJ13" s="3">
        <f t="shared" ca="1" si="2"/>
        <v>278459.43468272331</v>
      </c>
      <c r="BK13" s="3">
        <f t="shared" ca="1" si="2"/>
        <v>294794.54383091326</v>
      </c>
      <c r="BL13" s="3">
        <f t="shared" ca="1" si="2"/>
        <v>312192.10235011479</v>
      </c>
      <c r="BM13" s="3">
        <f t="shared" ca="1" si="2"/>
        <v>330527.64242394926</v>
      </c>
      <c r="BN13" s="3">
        <f t="shared" ca="1" si="2"/>
        <v>349953.4704473227</v>
      </c>
      <c r="BO13" s="3">
        <f t="shared" ca="1" si="2"/>
        <v>370627.09488872165</v>
      </c>
      <c r="BP13" s="3">
        <f t="shared" ca="1" si="2"/>
        <v>392431.84960194316</v>
      </c>
      <c r="BQ13" s="3">
        <f t="shared" ca="1" si="2"/>
        <v>415533.18250215822</v>
      </c>
    </row>
    <row r="16" spans="1:69">
      <c r="B16" s="25" t="s">
        <v>263</v>
      </c>
    </row>
    <row r="17" spans="1:69" outlineLevel="1">
      <c r="A17" s="18"/>
      <c r="B17" s="18"/>
      <c r="C17" s="28"/>
      <c r="D17" s="27"/>
      <c r="E17" s="4" t="str">
        <f xml:space="preserve">  InpC!E$26</f>
        <v>Fixed operating cost base</v>
      </c>
      <c r="F17" s="4">
        <f xml:space="preserve">  InpC!F$26</f>
        <v>25000</v>
      </c>
      <c r="G17" s="4" t="str">
        <f xml:space="preserve">  InpC!G$26</f>
        <v>GBP</v>
      </c>
      <c r="M17" s="2"/>
    </row>
    <row r="18" spans="1:69" outlineLevel="1">
      <c r="A18" s="18"/>
      <c r="B18" s="18"/>
      <c r="C18" s="28"/>
      <c r="D18" s="27"/>
      <c r="E18" s="35" t="str">
        <f xml:space="preserve">  Time!E$226</f>
        <v>Fixed Operating Cost Growth Rate escalation indexation factor</v>
      </c>
      <c r="F18" s="35">
        <f xml:space="preserve">  Time!F$226</f>
        <v>0</v>
      </c>
      <c r="G18" s="35" t="str">
        <f xml:space="preserve">  Time!G$226</f>
        <v>index</v>
      </c>
      <c r="H18" s="35">
        <f xml:space="preserve">  Time!H$226</f>
        <v>0</v>
      </c>
      <c r="I18" s="35">
        <f xml:space="preserve">  Time!I$226</f>
        <v>0</v>
      </c>
      <c r="J18" s="35">
        <f xml:space="preserve">  Time!J$226</f>
        <v>1</v>
      </c>
      <c r="K18" s="35">
        <f xml:space="preserve">  Time!K$226</f>
        <v>1</v>
      </c>
      <c r="L18" s="35">
        <f xml:space="preserve">  Time!L$226</f>
        <v>1</v>
      </c>
      <c r="M18" s="35">
        <f xml:space="preserve">  Time!M$226</f>
        <v>1.0243142740538207</v>
      </c>
      <c r="N18" s="35">
        <f xml:space="preserve">  Time!N$226</f>
        <v>1.0243142740538207</v>
      </c>
      <c r="O18" s="35">
        <f xml:space="preserve">  Time!O$226</f>
        <v>1.0243142740538207</v>
      </c>
      <c r="P18" s="35">
        <f xml:space="preserve">  Time!P$226</f>
        <v>1.0492197320304057</v>
      </c>
      <c r="Q18" s="35">
        <f xml:space="preserve">  Time!Q$226</f>
        <v>1.0492197320304057</v>
      </c>
      <c r="R18" s="35">
        <f xml:space="preserve">  Time!R$226</f>
        <v>1.0492197320304057</v>
      </c>
      <c r="S18" s="35">
        <f xml:space="preserve">  Time!S$226</f>
        <v>1.0747307481376693</v>
      </c>
      <c r="T18" s="35">
        <f xml:space="preserve">  Time!T$226</f>
        <v>1.0747307481376693</v>
      </c>
      <c r="U18" s="35">
        <f xml:space="preserve">  Time!U$226</f>
        <v>1.0747307481376693</v>
      </c>
      <c r="V18" s="35">
        <f xml:space="preserve">  Time!V$226</f>
        <v>1.1000000000000001</v>
      </c>
      <c r="W18" s="35">
        <f xml:space="preserve">  Time!W$226</f>
        <v>1.1000000000000001</v>
      </c>
      <c r="X18" s="35">
        <f xml:space="preserve">  Time!X$226</f>
        <v>1.1000000000000001</v>
      </c>
      <c r="Y18" s="35">
        <f xml:space="preserve">  Time!Y$226</f>
        <v>1.1268555865523511</v>
      </c>
      <c r="Z18" s="35">
        <f xml:space="preserve">  Time!Z$226</f>
        <v>1.1268555865523511</v>
      </c>
      <c r="AA18" s="35">
        <f xml:space="preserve">  Time!AA$226</f>
        <v>1.1268555865523511</v>
      </c>
      <c r="AB18" s="35">
        <f xml:space="preserve">  Time!AB$226</f>
        <v>1.1542163296239218</v>
      </c>
      <c r="AC18" s="35">
        <f xml:space="preserve">  Time!AC$226</f>
        <v>1.1542163296239218</v>
      </c>
      <c r="AD18" s="35">
        <f xml:space="preserve">  Time!AD$226</f>
        <v>1.1542163296239218</v>
      </c>
      <c r="AE18" s="35">
        <f xml:space="preserve">  Time!AE$226</f>
        <v>1.1823317044069723</v>
      </c>
      <c r="AF18" s="35">
        <f xml:space="preserve">  Time!AF$226</f>
        <v>1.1823317044069723</v>
      </c>
      <c r="AG18" s="35">
        <f xml:space="preserve">  Time!AG$226</f>
        <v>1.1823317044069723</v>
      </c>
      <c r="AH18" s="35">
        <f xml:space="preserve">  Time!AH$226</f>
        <v>1.2101052284052554</v>
      </c>
      <c r="AI18" s="35">
        <f xml:space="preserve">  Time!AI$226</f>
        <v>1.2101052284052554</v>
      </c>
      <c r="AJ18" s="35">
        <f xml:space="preserve">  Time!AJ$226</f>
        <v>1.2101052284052554</v>
      </c>
      <c r="AK18" s="35">
        <f xml:space="preserve">  Time!AK$226</f>
        <v>1.2395008894596742</v>
      </c>
      <c r="AL18" s="35">
        <f xml:space="preserve">  Time!AL$226</f>
        <v>1.2395008894596742</v>
      </c>
      <c r="AM18" s="35">
        <f xml:space="preserve">  Time!AM$226</f>
        <v>1.2395008894596742</v>
      </c>
      <c r="AN18" s="35">
        <f xml:space="preserve">  Time!AN$226</f>
        <v>1.2696106246859442</v>
      </c>
      <c r="AO18" s="35">
        <f xml:space="preserve">  Time!AO$226</f>
        <v>1.2696106246859442</v>
      </c>
      <c r="AP18" s="35">
        <f xml:space="preserve">  Time!AP$226</f>
        <v>1.2696106246859442</v>
      </c>
      <c r="AQ18" s="35">
        <f xml:space="preserve">  Time!AQ$226</f>
        <v>1.3005297300923371</v>
      </c>
      <c r="AR18" s="35">
        <f xml:space="preserve">  Time!AR$226</f>
        <v>1.3005297300923371</v>
      </c>
      <c r="AS18" s="35">
        <f xml:space="preserve">  Time!AS$226</f>
        <v>1.3005297300923371</v>
      </c>
      <c r="AT18" s="35">
        <f xml:space="preserve">  Time!AT$226</f>
        <v>1.3310868322979301</v>
      </c>
      <c r="AU18" s="35">
        <f xml:space="preserve">  Time!AU$226</f>
        <v>1.3310868322979301</v>
      </c>
      <c r="AV18" s="35">
        <f xml:space="preserve">  Time!AV$226</f>
        <v>1.3310868322979301</v>
      </c>
      <c r="AW18" s="35">
        <f xml:space="preserve">  Time!AW$226</f>
        <v>1.3634288231296141</v>
      </c>
      <c r="AX18" s="35">
        <f xml:space="preserve">  Time!AX$226</f>
        <v>1.3634288231296141</v>
      </c>
      <c r="AY18" s="35">
        <f xml:space="preserve">  Time!AY$226</f>
        <v>1.3634288231296141</v>
      </c>
      <c r="AZ18" s="35">
        <f xml:space="preserve">  Time!AZ$226</f>
        <v>1.396556641260897</v>
      </c>
      <c r="BA18" s="35">
        <f xml:space="preserve">  Time!BA$226</f>
        <v>1.396556641260897</v>
      </c>
      <c r="BB18" s="35">
        <f xml:space="preserve">  Time!BB$226</f>
        <v>1.396556641260897</v>
      </c>
      <c r="BC18" s="35">
        <f xml:space="preserve">  Time!BC$226</f>
        <v>1.4305594995961339</v>
      </c>
      <c r="BD18" s="35">
        <f xml:space="preserve">  Time!BD$226</f>
        <v>1.4305594995961339</v>
      </c>
      <c r="BE18" s="35">
        <f xml:space="preserve">  Time!BE$226</f>
        <v>1.4305594995961339</v>
      </c>
      <c r="BF18" s="35">
        <f xml:space="preserve">  Time!BF$226</f>
        <v>1.4641764223856168</v>
      </c>
      <c r="BG18" s="35">
        <f xml:space="preserve">  Time!BG$226</f>
        <v>1.4641764223856168</v>
      </c>
      <c r="BH18" s="35">
        <f xml:space="preserve">  Time!BH$226</f>
        <v>1.4641764223856168</v>
      </c>
      <c r="BI18" s="35">
        <f xml:space="preserve">  Time!BI$226</f>
        <v>1.4997570778119578</v>
      </c>
      <c r="BJ18" s="35">
        <f xml:space="preserve">  Time!BJ$226</f>
        <v>1.4997570778119578</v>
      </c>
      <c r="BK18" s="35">
        <f xml:space="preserve">  Time!BK$226</f>
        <v>1.4997570778119578</v>
      </c>
      <c r="BL18" s="35">
        <f xml:space="preserve">  Time!BL$226</f>
        <v>1.5362023715572966</v>
      </c>
      <c r="BM18" s="35">
        <f xml:space="preserve">  Time!BM$226</f>
        <v>1.5362023715572966</v>
      </c>
      <c r="BN18" s="35">
        <f xml:space="preserve">  Time!BN$226</f>
        <v>1.5362023715572966</v>
      </c>
      <c r="BO18" s="35">
        <f xml:space="preserve">  Time!BO$226</f>
        <v>1.5732730008629947</v>
      </c>
      <c r="BP18" s="35">
        <f xml:space="preserve">  Time!BP$226</f>
        <v>1.5732730008629947</v>
      </c>
      <c r="BQ18" s="35">
        <f xml:space="preserve">  Time!BQ$226</f>
        <v>1.5732730008629947</v>
      </c>
    </row>
    <row r="19" spans="1:69" outlineLevel="1">
      <c r="A19" s="34"/>
      <c r="B19" s="34"/>
      <c r="C19" s="64"/>
      <c r="D19" s="65"/>
      <c r="E19" s="21" t="s">
        <v>88</v>
      </c>
      <c r="F19" s="21"/>
      <c r="G19" s="21" t="s">
        <v>257</v>
      </c>
      <c r="H19" s="3">
        <f t="shared" ref="H19:H20" si="3" xml:space="preserve"> SUM( J19:BQ19 )</f>
        <v>1899484.1637263105</v>
      </c>
      <c r="I19" s="21"/>
      <c r="J19" s="3">
        <f t="shared" ref="J19:BQ19" si="4" xml:space="preserve">  J18 * $F17</f>
        <v>25000</v>
      </c>
      <c r="K19" s="3">
        <f t="shared" si="4"/>
        <v>25000</v>
      </c>
      <c r="L19" s="3">
        <f t="shared" si="4"/>
        <v>25000</v>
      </c>
      <c r="M19" s="3">
        <f t="shared" si="4"/>
        <v>25607.856851345517</v>
      </c>
      <c r="N19" s="3">
        <f t="shared" si="4"/>
        <v>25607.856851345517</v>
      </c>
      <c r="O19" s="3">
        <f t="shared" si="4"/>
        <v>25607.856851345517</v>
      </c>
      <c r="P19" s="3">
        <f t="shared" si="4"/>
        <v>26230.493300760143</v>
      </c>
      <c r="Q19" s="3">
        <f t="shared" si="4"/>
        <v>26230.493300760143</v>
      </c>
      <c r="R19" s="3">
        <f t="shared" si="4"/>
        <v>26230.493300760143</v>
      </c>
      <c r="S19" s="3">
        <f t="shared" si="4"/>
        <v>26868.268703441732</v>
      </c>
      <c r="T19" s="3">
        <f t="shared" si="4"/>
        <v>26868.268703441732</v>
      </c>
      <c r="U19" s="3">
        <f t="shared" si="4"/>
        <v>26868.268703441732</v>
      </c>
      <c r="V19" s="3">
        <f t="shared" si="4"/>
        <v>27500.000000000004</v>
      </c>
      <c r="W19" s="3">
        <f t="shared" si="4"/>
        <v>27500.000000000004</v>
      </c>
      <c r="X19" s="3">
        <f t="shared" si="4"/>
        <v>27500.000000000004</v>
      </c>
      <c r="Y19" s="3">
        <f t="shared" si="4"/>
        <v>28171.389663808775</v>
      </c>
      <c r="Z19" s="3">
        <f t="shared" si="4"/>
        <v>28171.389663808775</v>
      </c>
      <c r="AA19" s="3">
        <f t="shared" si="4"/>
        <v>28171.389663808775</v>
      </c>
      <c r="AB19" s="3">
        <f t="shared" si="4"/>
        <v>28855.408240598044</v>
      </c>
      <c r="AC19" s="3">
        <f t="shared" si="4"/>
        <v>28855.408240598044</v>
      </c>
      <c r="AD19" s="3">
        <f t="shared" si="4"/>
        <v>28855.408240598044</v>
      </c>
      <c r="AE19" s="3">
        <f t="shared" si="4"/>
        <v>29558.292610174307</v>
      </c>
      <c r="AF19" s="3">
        <f t="shared" si="4"/>
        <v>29558.292610174307</v>
      </c>
      <c r="AG19" s="3">
        <f t="shared" si="4"/>
        <v>29558.292610174307</v>
      </c>
      <c r="AH19" s="3">
        <f t="shared" si="4"/>
        <v>30252.630710131383</v>
      </c>
      <c r="AI19" s="3">
        <f t="shared" si="4"/>
        <v>30252.630710131383</v>
      </c>
      <c r="AJ19" s="3">
        <f t="shared" si="4"/>
        <v>30252.630710131383</v>
      </c>
      <c r="AK19" s="3">
        <f t="shared" si="4"/>
        <v>30987.522236491855</v>
      </c>
      <c r="AL19" s="3">
        <f t="shared" si="4"/>
        <v>30987.522236491855</v>
      </c>
      <c r="AM19" s="3">
        <f t="shared" si="4"/>
        <v>30987.522236491855</v>
      </c>
      <c r="AN19" s="3">
        <f t="shared" si="4"/>
        <v>31740.265617148605</v>
      </c>
      <c r="AO19" s="3">
        <f t="shared" si="4"/>
        <v>31740.265617148605</v>
      </c>
      <c r="AP19" s="3">
        <f t="shared" si="4"/>
        <v>31740.265617148605</v>
      </c>
      <c r="AQ19" s="3">
        <f t="shared" si="4"/>
        <v>32513.243252308428</v>
      </c>
      <c r="AR19" s="3">
        <f t="shared" si="4"/>
        <v>32513.243252308428</v>
      </c>
      <c r="AS19" s="3">
        <f t="shared" si="4"/>
        <v>32513.243252308428</v>
      </c>
      <c r="AT19" s="3">
        <f t="shared" si="4"/>
        <v>33277.170807448252</v>
      </c>
      <c r="AU19" s="3">
        <f t="shared" si="4"/>
        <v>33277.170807448252</v>
      </c>
      <c r="AV19" s="3">
        <f t="shared" si="4"/>
        <v>33277.170807448252</v>
      </c>
      <c r="AW19" s="3">
        <f t="shared" si="4"/>
        <v>34085.720578240354</v>
      </c>
      <c r="AX19" s="3">
        <f t="shared" si="4"/>
        <v>34085.720578240354</v>
      </c>
      <c r="AY19" s="3">
        <f t="shared" si="4"/>
        <v>34085.720578240354</v>
      </c>
      <c r="AZ19" s="3">
        <f t="shared" si="4"/>
        <v>34913.916031522422</v>
      </c>
      <c r="BA19" s="3">
        <f t="shared" si="4"/>
        <v>34913.916031522422</v>
      </c>
      <c r="BB19" s="3">
        <f t="shared" si="4"/>
        <v>34913.916031522422</v>
      </c>
      <c r="BC19" s="3">
        <f t="shared" si="4"/>
        <v>35763.987489903346</v>
      </c>
      <c r="BD19" s="3">
        <f t="shared" si="4"/>
        <v>35763.987489903346</v>
      </c>
      <c r="BE19" s="3">
        <f t="shared" si="4"/>
        <v>35763.987489903346</v>
      </c>
      <c r="BF19" s="3">
        <f t="shared" si="4"/>
        <v>36604.410559640419</v>
      </c>
      <c r="BG19" s="3">
        <f t="shared" si="4"/>
        <v>36604.410559640419</v>
      </c>
      <c r="BH19" s="3">
        <f t="shared" si="4"/>
        <v>36604.410559640419</v>
      </c>
      <c r="BI19" s="3">
        <f t="shared" si="4"/>
        <v>37493.926945298947</v>
      </c>
      <c r="BJ19" s="3">
        <f t="shared" si="4"/>
        <v>37493.926945298947</v>
      </c>
      <c r="BK19" s="3">
        <f t="shared" si="4"/>
        <v>37493.926945298947</v>
      </c>
      <c r="BL19" s="3">
        <f t="shared" si="4"/>
        <v>38405.059288932411</v>
      </c>
      <c r="BM19" s="3">
        <f t="shared" si="4"/>
        <v>38405.059288932411</v>
      </c>
      <c r="BN19" s="3">
        <f t="shared" si="4"/>
        <v>38405.059288932411</v>
      </c>
      <c r="BO19" s="3">
        <f t="shared" si="4"/>
        <v>39331.82502157487</v>
      </c>
      <c r="BP19" s="3">
        <f t="shared" si="4"/>
        <v>39331.82502157487</v>
      </c>
      <c r="BQ19" s="3">
        <f t="shared" si="4"/>
        <v>39331.82502157487</v>
      </c>
    </row>
    <row r="20" spans="1:69" outlineLevel="1">
      <c r="A20" s="34"/>
      <c r="B20" s="34"/>
      <c r="C20" s="64"/>
      <c r="D20" s="65"/>
      <c r="E20" s="21" t="str">
        <f xml:space="preserve"> LEFT($E$19, LEN($E$19) - 3 )</f>
        <v xml:space="preserve">Fixed operating expense </v>
      </c>
      <c r="F20" s="21"/>
      <c r="G20" s="21" t="str">
        <f xml:space="preserve"> G$19</f>
        <v>GBP</v>
      </c>
      <c r="H20" s="3">
        <f t="shared" si="3"/>
        <v>-1899484.1637263105</v>
      </c>
      <c r="I20" s="21"/>
      <c r="J20" s="3">
        <f t="shared" ref="J20:BQ20" si="5" xml:space="preserve"> -1 * J19</f>
        <v>-25000</v>
      </c>
      <c r="K20" s="3">
        <f t="shared" si="5"/>
        <v>-25000</v>
      </c>
      <c r="L20" s="3">
        <f t="shared" si="5"/>
        <v>-25000</v>
      </c>
      <c r="M20" s="3">
        <f t="shared" si="5"/>
        <v>-25607.856851345517</v>
      </c>
      <c r="N20" s="3">
        <f t="shared" si="5"/>
        <v>-25607.856851345517</v>
      </c>
      <c r="O20" s="3">
        <f t="shared" si="5"/>
        <v>-25607.856851345517</v>
      </c>
      <c r="P20" s="3">
        <f t="shared" si="5"/>
        <v>-26230.493300760143</v>
      </c>
      <c r="Q20" s="3">
        <f t="shared" si="5"/>
        <v>-26230.493300760143</v>
      </c>
      <c r="R20" s="3">
        <f t="shared" si="5"/>
        <v>-26230.493300760143</v>
      </c>
      <c r="S20" s="3">
        <f t="shared" si="5"/>
        <v>-26868.268703441732</v>
      </c>
      <c r="T20" s="3">
        <f t="shared" si="5"/>
        <v>-26868.268703441732</v>
      </c>
      <c r="U20" s="3">
        <f t="shared" si="5"/>
        <v>-26868.268703441732</v>
      </c>
      <c r="V20" s="3">
        <f t="shared" si="5"/>
        <v>-27500.000000000004</v>
      </c>
      <c r="W20" s="3">
        <f t="shared" si="5"/>
        <v>-27500.000000000004</v>
      </c>
      <c r="X20" s="3">
        <f t="shared" si="5"/>
        <v>-27500.000000000004</v>
      </c>
      <c r="Y20" s="3">
        <f t="shared" si="5"/>
        <v>-28171.389663808775</v>
      </c>
      <c r="Z20" s="3">
        <f t="shared" si="5"/>
        <v>-28171.389663808775</v>
      </c>
      <c r="AA20" s="3">
        <f t="shared" si="5"/>
        <v>-28171.389663808775</v>
      </c>
      <c r="AB20" s="3">
        <f t="shared" si="5"/>
        <v>-28855.408240598044</v>
      </c>
      <c r="AC20" s="3">
        <f t="shared" si="5"/>
        <v>-28855.408240598044</v>
      </c>
      <c r="AD20" s="3">
        <f t="shared" si="5"/>
        <v>-28855.408240598044</v>
      </c>
      <c r="AE20" s="3">
        <f t="shared" si="5"/>
        <v>-29558.292610174307</v>
      </c>
      <c r="AF20" s="3">
        <f t="shared" si="5"/>
        <v>-29558.292610174307</v>
      </c>
      <c r="AG20" s="3">
        <f t="shared" si="5"/>
        <v>-29558.292610174307</v>
      </c>
      <c r="AH20" s="3">
        <f t="shared" si="5"/>
        <v>-30252.630710131383</v>
      </c>
      <c r="AI20" s="3">
        <f t="shared" si="5"/>
        <v>-30252.630710131383</v>
      </c>
      <c r="AJ20" s="3">
        <f t="shared" si="5"/>
        <v>-30252.630710131383</v>
      </c>
      <c r="AK20" s="3">
        <f t="shared" si="5"/>
        <v>-30987.522236491855</v>
      </c>
      <c r="AL20" s="3">
        <f t="shared" si="5"/>
        <v>-30987.522236491855</v>
      </c>
      <c r="AM20" s="3">
        <f t="shared" si="5"/>
        <v>-30987.522236491855</v>
      </c>
      <c r="AN20" s="3">
        <f t="shared" si="5"/>
        <v>-31740.265617148605</v>
      </c>
      <c r="AO20" s="3">
        <f t="shared" si="5"/>
        <v>-31740.265617148605</v>
      </c>
      <c r="AP20" s="3">
        <f t="shared" si="5"/>
        <v>-31740.265617148605</v>
      </c>
      <c r="AQ20" s="3">
        <f t="shared" si="5"/>
        <v>-32513.243252308428</v>
      </c>
      <c r="AR20" s="3">
        <f t="shared" si="5"/>
        <v>-32513.243252308428</v>
      </c>
      <c r="AS20" s="3">
        <f t="shared" si="5"/>
        <v>-32513.243252308428</v>
      </c>
      <c r="AT20" s="3">
        <f t="shared" si="5"/>
        <v>-33277.170807448252</v>
      </c>
      <c r="AU20" s="3">
        <f t="shared" si="5"/>
        <v>-33277.170807448252</v>
      </c>
      <c r="AV20" s="3">
        <f t="shared" si="5"/>
        <v>-33277.170807448252</v>
      </c>
      <c r="AW20" s="3">
        <f t="shared" si="5"/>
        <v>-34085.720578240354</v>
      </c>
      <c r="AX20" s="3">
        <f t="shared" si="5"/>
        <v>-34085.720578240354</v>
      </c>
      <c r="AY20" s="3">
        <f t="shared" si="5"/>
        <v>-34085.720578240354</v>
      </c>
      <c r="AZ20" s="3">
        <f t="shared" si="5"/>
        <v>-34913.916031522422</v>
      </c>
      <c r="BA20" s="3">
        <f t="shared" si="5"/>
        <v>-34913.916031522422</v>
      </c>
      <c r="BB20" s="3">
        <f t="shared" si="5"/>
        <v>-34913.916031522422</v>
      </c>
      <c r="BC20" s="3">
        <f t="shared" si="5"/>
        <v>-35763.987489903346</v>
      </c>
      <c r="BD20" s="3">
        <f t="shared" si="5"/>
        <v>-35763.987489903346</v>
      </c>
      <c r="BE20" s="3">
        <f t="shared" si="5"/>
        <v>-35763.987489903346</v>
      </c>
      <c r="BF20" s="3">
        <f t="shared" si="5"/>
        <v>-36604.410559640419</v>
      </c>
      <c r="BG20" s="3">
        <f t="shared" si="5"/>
        <v>-36604.410559640419</v>
      </c>
      <c r="BH20" s="3">
        <f t="shared" si="5"/>
        <v>-36604.410559640419</v>
      </c>
      <c r="BI20" s="3">
        <f t="shared" si="5"/>
        <v>-37493.926945298947</v>
      </c>
      <c r="BJ20" s="3">
        <f t="shared" si="5"/>
        <v>-37493.926945298947</v>
      </c>
      <c r="BK20" s="3">
        <f t="shared" si="5"/>
        <v>-37493.926945298947</v>
      </c>
      <c r="BL20" s="3">
        <f t="shared" si="5"/>
        <v>-38405.059288932411</v>
      </c>
      <c r="BM20" s="3">
        <f t="shared" si="5"/>
        <v>-38405.059288932411</v>
      </c>
      <c r="BN20" s="3">
        <f t="shared" si="5"/>
        <v>-38405.059288932411</v>
      </c>
      <c r="BO20" s="3">
        <f t="shared" si="5"/>
        <v>-39331.82502157487</v>
      </c>
      <c r="BP20" s="3">
        <f t="shared" si="5"/>
        <v>-39331.82502157487</v>
      </c>
      <c r="BQ20" s="3">
        <f t="shared" si="5"/>
        <v>-39331.82502157487</v>
      </c>
    </row>
    <row r="23" spans="1:69">
      <c r="B23" s="25" t="s">
        <v>81</v>
      </c>
    </row>
    <row r="24" spans="1:69" outlineLevel="1">
      <c r="A24" s="18"/>
      <c r="B24" s="18"/>
      <c r="C24" s="28"/>
      <c r="D24" s="27"/>
      <c r="E24" s="43" t="str">
        <f xml:space="preserve">  InpC!E$29</f>
        <v>Variable Operating Costs as a % of sales</v>
      </c>
      <c r="F24" s="43">
        <f xml:space="preserve">  InpC!F$29</f>
        <v>0.05</v>
      </c>
      <c r="G24" s="43" t="str">
        <f xml:space="preserve">  InpC!G$29</f>
        <v>%</v>
      </c>
      <c r="M24" s="57"/>
    </row>
    <row r="25" spans="1:69" outlineLevel="1">
      <c r="A25" s="18"/>
      <c r="B25" s="18"/>
      <c r="C25" s="28"/>
      <c r="D25" s="27"/>
      <c r="E25" s="4" t="str">
        <f xml:space="preserve">  Customers!E$43</f>
        <v>Sales</v>
      </c>
      <c r="F25" s="4">
        <f xml:space="preserve">  Customers!F$43</f>
        <v>0</v>
      </c>
      <c r="G25" s="4" t="str">
        <f xml:space="preserve">  Customers!G$43</f>
        <v>GBP</v>
      </c>
      <c r="H25" s="4">
        <f ca="1" xml:space="preserve">  Customers!H$43</f>
        <v>1385175209.4111643</v>
      </c>
      <c r="I25" s="4">
        <f xml:space="preserve">  Customers!I$43</f>
        <v>0</v>
      </c>
      <c r="J25" s="4">
        <f ca="1" xml:space="preserve">  Customers!J$43</f>
        <v>840000</v>
      </c>
      <c r="K25" s="4">
        <f ca="1" xml:space="preserve">  Customers!K$43</f>
        <v>840000</v>
      </c>
      <c r="L25" s="4">
        <f ca="1" xml:space="preserve">  Customers!L$43</f>
        <v>840000</v>
      </c>
      <c r="M25" s="4">
        <f ca="1" xml:space="preserve">  Customers!M$43</f>
        <v>840000</v>
      </c>
      <c r="N25" s="4">
        <f ca="1" xml:space="preserve">  Customers!N$43</f>
        <v>2520000</v>
      </c>
      <c r="O25" s="4">
        <f ca="1" xml:space="preserve">  Customers!O$43</f>
        <v>2520000</v>
      </c>
      <c r="P25" s="4">
        <f ca="1" xml:space="preserve">  Customers!P$43</f>
        <v>2520000</v>
      </c>
      <c r="Q25" s="4">
        <f ca="1" xml:space="preserve">  Customers!Q$43</f>
        <v>4200000</v>
      </c>
      <c r="R25" s="4">
        <f ca="1" xml:space="preserve">  Customers!R$43</f>
        <v>4200000</v>
      </c>
      <c r="S25" s="4">
        <f ca="1" xml:space="preserve">  Customers!S$43</f>
        <v>4200000</v>
      </c>
      <c r="T25" s="4">
        <f ca="1" xml:space="preserve">  Customers!T$43</f>
        <v>4200000</v>
      </c>
      <c r="U25" s="4">
        <f ca="1" xml:space="preserve">  Customers!U$43</f>
        <v>4200000</v>
      </c>
      <c r="V25" s="4">
        <f ca="1" xml:space="preserve">  Customers!V$43</f>
        <v>4449744.9963090401</v>
      </c>
      <c r="W25" s="4">
        <f ca="1" xml:space="preserve">  Customers!W$43</f>
        <v>4714340.6028993661</v>
      </c>
      <c r="X25" s="4">
        <f ca="1" xml:space="preserve">  Customers!X$43</f>
        <v>4994669.8830114286</v>
      </c>
      <c r="Y25" s="4">
        <f ca="1" xml:space="preserve">  Customers!Y$43</f>
        <v>5291668.4095584676</v>
      </c>
      <c r="Z25" s="4">
        <f ca="1" xml:space="preserve">  Customers!Z$43</f>
        <v>5606327.3875141442</v>
      </c>
      <c r="AA25" s="4">
        <f ca="1" xml:space="preserve">  Customers!AA$43</f>
        <v>5939696.9619669989</v>
      </c>
      <c r="AB25" s="4">
        <f ca="1" xml:space="preserve">  Customers!AB$43</f>
        <v>6292889.7228820622</v>
      </c>
      <c r="AC25" s="4">
        <f ca="1" xml:space="preserve">  Customers!AC$43</f>
        <v>6667084.4182664379</v>
      </c>
      <c r="AD25" s="4">
        <f ca="1" xml:space="preserve">  Customers!AD$43</f>
        <v>7063529.8881312031</v>
      </c>
      <c r="AE25" s="4">
        <f ca="1" xml:space="preserve">  Customers!AE$43</f>
        <v>7483549.2323788516</v>
      </c>
      <c r="AF25" s="4">
        <f ca="1" xml:space="preserve">  Customers!AF$43</f>
        <v>7928544.2265262268</v>
      </c>
      <c r="AG25" s="4">
        <f ca="1" xml:space="preserve">  Customers!AG$43</f>
        <v>8400000.0000000019</v>
      </c>
      <c r="AH25" s="4">
        <f ca="1" xml:space="preserve">  Customers!AH$43</f>
        <v>9655489.9926180802</v>
      </c>
      <c r="AI25" s="4">
        <f ca="1" xml:space="preserve">  Customers!AI$43</f>
        <v>10184681.205798734</v>
      </c>
      <c r="AJ25" s="4">
        <f ca="1" xml:space="preserve">  Customers!AJ$43</f>
        <v>10745339.766022859</v>
      </c>
      <c r="AK25" s="4">
        <f ca="1" xml:space="preserve">  Customers!AK$43</f>
        <v>11339336.819116939</v>
      </c>
      <c r="AL25" s="4">
        <f ca="1" xml:space="preserve">  Customers!AL$43</f>
        <v>13480654.775028296</v>
      </c>
      <c r="AM25" s="4">
        <f ca="1" xml:space="preserve">  Customers!AM$43</f>
        <v>14147393.923934005</v>
      </c>
      <c r="AN25" s="4">
        <f ca="1" xml:space="preserve">  Customers!AN$43</f>
        <v>14853779.445764136</v>
      </c>
      <c r="AO25" s="4">
        <f ca="1" xml:space="preserve">  Customers!AO$43</f>
        <v>17114168.836532883</v>
      </c>
      <c r="AP25" s="4">
        <f ca="1" xml:space="preserve">  Customers!AP$43</f>
        <v>17907059.77626241</v>
      </c>
      <c r="AQ25" s="4">
        <f ca="1" xml:space="preserve">  Customers!AQ$43</f>
        <v>18747098.464757711</v>
      </c>
      <c r="AR25" s="4">
        <f ca="1" xml:space="preserve">  Customers!AR$43</f>
        <v>19637088.453052457</v>
      </c>
      <c r="AS25" s="4">
        <f ca="1" xml:space="preserve">  Customers!AS$43</f>
        <v>20580000.000000007</v>
      </c>
      <c r="AT25" s="4">
        <f ca="1" xml:space="preserve">  Customers!AT$43</f>
        <v>21803750.481914308</v>
      </c>
      <c r="AU25" s="4">
        <f ca="1" xml:space="preserve">  Customers!AU$43</f>
        <v>23100268.954206914</v>
      </c>
      <c r="AV25" s="4">
        <f ca="1" xml:space="preserve">  Customers!AV$43</f>
        <v>24473882.426756017</v>
      </c>
      <c r="AW25" s="4">
        <f ca="1" xml:space="preserve">  Customers!AW$43</f>
        <v>25929175.20683651</v>
      </c>
      <c r="AX25" s="4">
        <f ca="1" xml:space="preserve">  Customers!AX$43</f>
        <v>27471004.198819332</v>
      </c>
      <c r="AY25" s="4">
        <f ca="1" xml:space="preserve">  Customers!AY$43</f>
        <v>29104515.113638323</v>
      </c>
      <c r="AZ25" s="4">
        <f ca="1" xml:space="preserve">  Customers!AZ$43</f>
        <v>30835159.642122131</v>
      </c>
      <c r="BA25" s="4">
        <f ca="1" xml:space="preserve">  Customers!BA$43</f>
        <v>32668713.649505574</v>
      </c>
      <c r="BB25" s="4">
        <f ca="1" xml:space="preserve">  Customers!BB$43</f>
        <v>34611296.451842919</v>
      </c>
      <c r="BC25" s="4">
        <f ca="1" xml:space="preserve">  Customers!BC$43</f>
        <v>36669391.238656402</v>
      </c>
      <c r="BD25" s="4">
        <f ca="1" xml:space="preserve">  Customers!BD$43</f>
        <v>38849866.709978543</v>
      </c>
      <c r="BE25" s="4">
        <f ca="1" xml:space="preserve">  Customers!BE$43</f>
        <v>41160000.000000045</v>
      </c>
      <c r="BF25" s="4">
        <f ca="1" xml:space="preserve">  Customers!BF$43</f>
        <v>43607500.963828646</v>
      </c>
      <c r="BG25" s="4">
        <f ca="1" xml:space="preserve">  Customers!BG$43</f>
        <v>46200537.908413842</v>
      </c>
      <c r="BH25" s="4">
        <f ca="1" xml:space="preserve">  Customers!BH$43</f>
        <v>48947764.853512056</v>
      </c>
      <c r="BI25" s="4">
        <f ca="1" xml:space="preserve">  Customers!BI$43</f>
        <v>51858350.413673043</v>
      </c>
      <c r="BJ25" s="4">
        <f ca="1" xml:space="preserve">  Customers!BJ$43</f>
        <v>54942008.397638686</v>
      </c>
      <c r="BK25" s="4">
        <f ca="1" xml:space="preserve">  Customers!BK$43</f>
        <v>58209030.227276668</v>
      </c>
      <c r="BL25" s="4">
        <f ca="1" xml:space="preserve">  Customers!BL$43</f>
        <v>61670319.284244306</v>
      </c>
      <c r="BM25" s="4">
        <f ca="1" xml:space="preserve">  Customers!BM$43</f>
        <v>65337427.299011193</v>
      </c>
      <c r="BN25" s="4">
        <f ca="1" xml:space="preserve">  Customers!BN$43</f>
        <v>69222592.903685883</v>
      </c>
      <c r="BO25" s="4">
        <f ca="1" xml:space="preserve">  Customers!BO$43</f>
        <v>73338782.477312833</v>
      </c>
      <c r="BP25" s="4">
        <f ca="1" xml:space="preserve">  Customers!BP$43</f>
        <v>77699733.419957131</v>
      </c>
      <c r="BQ25" s="4">
        <f ca="1" xml:space="preserve">  Customers!BQ$43</f>
        <v>82320000.000000134</v>
      </c>
    </row>
    <row r="26" spans="1:69" outlineLevel="1">
      <c r="A26" s="34"/>
      <c r="B26" s="34"/>
      <c r="C26" s="64"/>
      <c r="D26" s="65"/>
      <c r="E26" s="21" t="s">
        <v>89</v>
      </c>
      <c r="F26" s="21"/>
      <c r="G26" s="21" t="s">
        <v>257</v>
      </c>
      <c r="H26" s="3">
        <f t="shared" ref="H26:H27" ca="1" si="6" xml:space="preserve"> SUM( J26:BQ26 )</f>
        <v>69258760.470558211</v>
      </c>
      <c r="I26" s="21"/>
      <c r="J26" s="3">
        <f t="shared" ref="J26:BQ26" ca="1" si="7" xml:space="preserve">  J25 * $F24</f>
        <v>42000</v>
      </c>
      <c r="K26" s="3">
        <f t="shared" ca="1" si="7"/>
        <v>42000</v>
      </c>
      <c r="L26" s="3">
        <f t="shared" ca="1" si="7"/>
        <v>42000</v>
      </c>
      <c r="M26" s="3">
        <f t="shared" ca="1" si="7"/>
        <v>42000</v>
      </c>
      <c r="N26" s="3">
        <f t="shared" ca="1" si="7"/>
        <v>126000</v>
      </c>
      <c r="O26" s="3">
        <f t="shared" ca="1" si="7"/>
        <v>126000</v>
      </c>
      <c r="P26" s="3">
        <f t="shared" ca="1" si="7"/>
        <v>126000</v>
      </c>
      <c r="Q26" s="3">
        <f t="shared" ca="1" si="7"/>
        <v>210000</v>
      </c>
      <c r="R26" s="3">
        <f t="shared" ca="1" si="7"/>
        <v>210000</v>
      </c>
      <c r="S26" s="3">
        <f t="shared" ca="1" si="7"/>
        <v>210000</v>
      </c>
      <c r="T26" s="3">
        <f t="shared" ca="1" si="7"/>
        <v>210000</v>
      </c>
      <c r="U26" s="3">
        <f t="shared" ca="1" si="7"/>
        <v>210000</v>
      </c>
      <c r="V26" s="3">
        <f t="shared" ca="1" si="7"/>
        <v>222487.24981545203</v>
      </c>
      <c r="W26" s="3">
        <f t="shared" ca="1" si="7"/>
        <v>235717.0301449683</v>
      </c>
      <c r="X26" s="3">
        <f t="shared" ca="1" si="7"/>
        <v>249733.49415057144</v>
      </c>
      <c r="Y26" s="3">
        <f t="shared" ca="1" si="7"/>
        <v>264583.42047792341</v>
      </c>
      <c r="Z26" s="3">
        <f t="shared" ca="1" si="7"/>
        <v>280316.36937570723</v>
      </c>
      <c r="AA26" s="3">
        <f t="shared" ca="1" si="7"/>
        <v>296984.84809834993</v>
      </c>
      <c r="AB26" s="3">
        <f t="shared" ca="1" si="7"/>
        <v>314644.48614410311</v>
      </c>
      <c r="AC26" s="3">
        <f t="shared" ca="1" si="7"/>
        <v>333354.22091332194</v>
      </c>
      <c r="AD26" s="3">
        <f t="shared" ca="1" si="7"/>
        <v>353176.4944065602</v>
      </c>
      <c r="AE26" s="3">
        <f t="shared" ca="1" si="7"/>
        <v>374177.46161894262</v>
      </c>
      <c r="AF26" s="3">
        <f t="shared" ca="1" si="7"/>
        <v>396427.21132631134</v>
      </c>
      <c r="AG26" s="3">
        <f t="shared" ca="1" si="7"/>
        <v>420000.00000000012</v>
      </c>
      <c r="AH26" s="3">
        <f t="shared" ca="1" si="7"/>
        <v>482774.49963090406</v>
      </c>
      <c r="AI26" s="3">
        <f t="shared" ca="1" si="7"/>
        <v>509234.06028993672</v>
      </c>
      <c r="AJ26" s="3">
        <f t="shared" ca="1" si="7"/>
        <v>537266.98830114293</v>
      </c>
      <c r="AK26" s="3">
        <f t="shared" ca="1" si="7"/>
        <v>566966.84095584694</v>
      </c>
      <c r="AL26" s="3">
        <f t="shared" ca="1" si="7"/>
        <v>674032.73875141481</v>
      </c>
      <c r="AM26" s="3">
        <f t="shared" ca="1" si="7"/>
        <v>707369.69619670033</v>
      </c>
      <c r="AN26" s="3">
        <f t="shared" ca="1" si="7"/>
        <v>742688.9722882068</v>
      </c>
      <c r="AO26" s="3">
        <f t="shared" ca="1" si="7"/>
        <v>855708.44182664424</v>
      </c>
      <c r="AP26" s="3">
        <f t="shared" ca="1" si="7"/>
        <v>895352.98881312052</v>
      </c>
      <c r="AQ26" s="3">
        <f t="shared" ca="1" si="7"/>
        <v>937354.92323788558</v>
      </c>
      <c r="AR26" s="3">
        <f t="shared" ca="1" si="7"/>
        <v>981854.42265262292</v>
      </c>
      <c r="AS26" s="3">
        <f t="shared" ca="1" si="7"/>
        <v>1029000.0000000005</v>
      </c>
      <c r="AT26" s="3">
        <f t="shared" ca="1" si="7"/>
        <v>1090187.5240957155</v>
      </c>
      <c r="AU26" s="3">
        <f t="shared" ca="1" si="7"/>
        <v>1155013.4477103457</v>
      </c>
      <c r="AV26" s="3">
        <f t="shared" ca="1" si="7"/>
        <v>1223694.121337801</v>
      </c>
      <c r="AW26" s="3">
        <f t="shared" ca="1" si="7"/>
        <v>1296458.7603418257</v>
      </c>
      <c r="AX26" s="3">
        <f t="shared" ca="1" si="7"/>
        <v>1373550.2099409667</v>
      </c>
      <c r="AY26" s="3">
        <f t="shared" ca="1" si="7"/>
        <v>1455225.7556819161</v>
      </c>
      <c r="AZ26" s="3">
        <f t="shared" ca="1" si="7"/>
        <v>1541757.9821061066</v>
      </c>
      <c r="BA26" s="3">
        <f t="shared" ca="1" si="7"/>
        <v>1633435.6824752789</v>
      </c>
      <c r="BB26" s="3">
        <f t="shared" ca="1" si="7"/>
        <v>1730564.822592146</v>
      </c>
      <c r="BC26" s="3">
        <f t="shared" ca="1" si="7"/>
        <v>1833469.5619328201</v>
      </c>
      <c r="BD26" s="3">
        <f t="shared" ca="1" si="7"/>
        <v>1942493.3354989272</v>
      </c>
      <c r="BE26" s="3">
        <f t="shared" ca="1" si="7"/>
        <v>2058000.0000000023</v>
      </c>
      <c r="BF26" s="3">
        <f t="shared" ca="1" si="7"/>
        <v>2180375.0481914324</v>
      </c>
      <c r="BG26" s="3">
        <f t="shared" ca="1" si="7"/>
        <v>2310026.8954206924</v>
      </c>
      <c r="BH26" s="3">
        <f t="shared" ca="1" si="7"/>
        <v>2447388.2426756029</v>
      </c>
      <c r="BI26" s="3">
        <f t="shared" ca="1" si="7"/>
        <v>2592917.5206836523</v>
      </c>
      <c r="BJ26" s="3">
        <f t="shared" ca="1" si="7"/>
        <v>2747100.4198819343</v>
      </c>
      <c r="BK26" s="3">
        <f t="shared" ca="1" si="7"/>
        <v>2910451.5113638337</v>
      </c>
      <c r="BL26" s="3">
        <f t="shared" ca="1" si="7"/>
        <v>3083515.9642122155</v>
      </c>
      <c r="BM26" s="3">
        <f t="shared" ca="1" si="7"/>
        <v>3266871.36495056</v>
      </c>
      <c r="BN26" s="3">
        <f t="shared" ca="1" si="7"/>
        <v>3461129.6451842943</v>
      </c>
      <c r="BO26" s="3">
        <f t="shared" ca="1" si="7"/>
        <v>3666939.1238656417</v>
      </c>
      <c r="BP26" s="3">
        <f t="shared" ca="1" si="7"/>
        <v>3884986.6709978567</v>
      </c>
      <c r="BQ26" s="3">
        <f t="shared" ca="1" si="7"/>
        <v>4116000.000000007</v>
      </c>
    </row>
    <row r="27" spans="1:69" outlineLevel="1">
      <c r="A27" s="34"/>
      <c r="B27" s="34"/>
      <c r="C27" s="64"/>
      <c r="D27" s="65"/>
      <c r="E27" s="21" t="str">
        <f xml:space="preserve"> LEFT($E$26, LEN($E$26) - 3 )</f>
        <v xml:space="preserve">Variable Operating expense </v>
      </c>
      <c r="F27" s="21"/>
      <c r="G27" s="21" t="str">
        <f xml:space="preserve"> G$26</f>
        <v>GBP</v>
      </c>
      <c r="H27" s="3">
        <f t="shared" ca="1" si="6"/>
        <v>-69258760.470558211</v>
      </c>
      <c r="I27" s="21"/>
      <c r="J27" s="3">
        <f t="shared" ref="J27:BQ27" ca="1" si="8" xml:space="preserve"> -1 * J26</f>
        <v>-42000</v>
      </c>
      <c r="K27" s="3">
        <f t="shared" ca="1" si="8"/>
        <v>-42000</v>
      </c>
      <c r="L27" s="3">
        <f t="shared" ca="1" si="8"/>
        <v>-42000</v>
      </c>
      <c r="M27" s="3">
        <f t="shared" ca="1" si="8"/>
        <v>-42000</v>
      </c>
      <c r="N27" s="3">
        <f t="shared" ca="1" si="8"/>
        <v>-126000</v>
      </c>
      <c r="O27" s="3">
        <f t="shared" ca="1" si="8"/>
        <v>-126000</v>
      </c>
      <c r="P27" s="3">
        <f t="shared" ca="1" si="8"/>
        <v>-126000</v>
      </c>
      <c r="Q27" s="3">
        <f t="shared" ca="1" si="8"/>
        <v>-210000</v>
      </c>
      <c r="R27" s="3">
        <f t="shared" ca="1" si="8"/>
        <v>-210000</v>
      </c>
      <c r="S27" s="3">
        <f t="shared" ca="1" si="8"/>
        <v>-210000</v>
      </c>
      <c r="T27" s="3">
        <f t="shared" ca="1" si="8"/>
        <v>-210000</v>
      </c>
      <c r="U27" s="3">
        <f t="shared" ca="1" si="8"/>
        <v>-210000</v>
      </c>
      <c r="V27" s="3">
        <f t="shared" ca="1" si="8"/>
        <v>-222487.24981545203</v>
      </c>
      <c r="W27" s="3">
        <f t="shared" ca="1" si="8"/>
        <v>-235717.0301449683</v>
      </c>
      <c r="X27" s="3">
        <f t="shared" ca="1" si="8"/>
        <v>-249733.49415057144</v>
      </c>
      <c r="Y27" s="3">
        <f t="shared" ca="1" si="8"/>
        <v>-264583.42047792341</v>
      </c>
      <c r="Z27" s="3">
        <f t="shared" ca="1" si="8"/>
        <v>-280316.36937570723</v>
      </c>
      <c r="AA27" s="3">
        <f t="shared" ca="1" si="8"/>
        <v>-296984.84809834993</v>
      </c>
      <c r="AB27" s="3">
        <f t="shared" ca="1" si="8"/>
        <v>-314644.48614410311</v>
      </c>
      <c r="AC27" s="3">
        <f t="shared" ca="1" si="8"/>
        <v>-333354.22091332194</v>
      </c>
      <c r="AD27" s="3">
        <f t="shared" ca="1" si="8"/>
        <v>-353176.4944065602</v>
      </c>
      <c r="AE27" s="3">
        <f t="shared" ca="1" si="8"/>
        <v>-374177.46161894262</v>
      </c>
      <c r="AF27" s="3">
        <f t="shared" ca="1" si="8"/>
        <v>-396427.21132631134</v>
      </c>
      <c r="AG27" s="3">
        <f t="shared" ca="1" si="8"/>
        <v>-420000.00000000012</v>
      </c>
      <c r="AH27" s="3">
        <f t="shared" ca="1" si="8"/>
        <v>-482774.49963090406</v>
      </c>
      <c r="AI27" s="3">
        <f t="shared" ca="1" si="8"/>
        <v>-509234.06028993672</v>
      </c>
      <c r="AJ27" s="3">
        <f t="shared" ca="1" si="8"/>
        <v>-537266.98830114293</v>
      </c>
      <c r="AK27" s="3">
        <f t="shared" ca="1" si="8"/>
        <v>-566966.84095584694</v>
      </c>
      <c r="AL27" s="3">
        <f t="shared" ca="1" si="8"/>
        <v>-674032.73875141481</v>
      </c>
      <c r="AM27" s="3">
        <f t="shared" ca="1" si="8"/>
        <v>-707369.69619670033</v>
      </c>
      <c r="AN27" s="3">
        <f t="shared" ca="1" si="8"/>
        <v>-742688.9722882068</v>
      </c>
      <c r="AO27" s="3">
        <f t="shared" ca="1" si="8"/>
        <v>-855708.44182664424</v>
      </c>
      <c r="AP27" s="3">
        <f t="shared" ca="1" si="8"/>
        <v>-895352.98881312052</v>
      </c>
      <c r="AQ27" s="3">
        <f t="shared" ca="1" si="8"/>
        <v>-937354.92323788558</v>
      </c>
      <c r="AR27" s="3">
        <f t="shared" ca="1" si="8"/>
        <v>-981854.42265262292</v>
      </c>
      <c r="AS27" s="3">
        <f t="shared" ca="1" si="8"/>
        <v>-1029000.0000000005</v>
      </c>
      <c r="AT27" s="3">
        <f t="shared" ca="1" si="8"/>
        <v>-1090187.5240957155</v>
      </c>
      <c r="AU27" s="3">
        <f t="shared" ca="1" si="8"/>
        <v>-1155013.4477103457</v>
      </c>
      <c r="AV27" s="3">
        <f t="shared" ca="1" si="8"/>
        <v>-1223694.121337801</v>
      </c>
      <c r="AW27" s="3">
        <f t="shared" ca="1" si="8"/>
        <v>-1296458.7603418257</v>
      </c>
      <c r="AX27" s="3">
        <f t="shared" ca="1" si="8"/>
        <v>-1373550.2099409667</v>
      </c>
      <c r="AY27" s="3">
        <f t="shared" ca="1" si="8"/>
        <v>-1455225.7556819161</v>
      </c>
      <c r="AZ27" s="3">
        <f t="shared" ca="1" si="8"/>
        <v>-1541757.9821061066</v>
      </c>
      <c r="BA27" s="3">
        <f t="shared" ca="1" si="8"/>
        <v>-1633435.6824752789</v>
      </c>
      <c r="BB27" s="3">
        <f t="shared" ca="1" si="8"/>
        <v>-1730564.822592146</v>
      </c>
      <c r="BC27" s="3">
        <f t="shared" ca="1" si="8"/>
        <v>-1833469.5619328201</v>
      </c>
      <c r="BD27" s="3">
        <f t="shared" ca="1" si="8"/>
        <v>-1942493.3354989272</v>
      </c>
      <c r="BE27" s="3">
        <f t="shared" ca="1" si="8"/>
        <v>-2058000.0000000023</v>
      </c>
      <c r="BF27" s="3">
        <f t="shared" ca="1" si="8"/>
        <v>-2180375.0481914324</v>
      </c>
      <c r="BG27" s="3">
        <f t="shared" ca="1" si="8"/>
        <v>-2310026.8954206924</v>
      </c>
      <c r="BH27" s="3">
        <f t="shared" ca="1" si="8"/>
        <v>-2447388.2426756029</v>
      </c>
      <c r="BI27" s="3">
        <f t="shared" ca="1" si="8"/>
        <v>-2592917.5206836523</v>
      </c>
      <c r="BJ27" s="3">
        <f t="shared" ca="1" si="8"/>
        <v>-2747100.4198819343</v>
      </c>
      <c r="BK27" s="3">
        <f t="shared" ca="1" si="8"/>
        <v>-2910451.5113638337</v>
      </c>
      <c r="BL27" s="3">
        <f t="shared" ca="1" si="8"/>
        <v>-3083515.9642122155</v>
      </c>
      <c r="BM27" s="3">
        <f t="shared" ca="1" si="8"/>
        <v>-3266871.36495056</v>
      </c>
      <c r="BN27" s="3">
        <f t="shared" ca="1" si="8"/>
        <v>-3461129.6451842943</v>
      </c>
      <c r="BO27" s="3">
        <f t="shared" ca="1" si="8"/>
        <v>-3666939.1238656417</v>
      </c>
      <c r="BP27" s="3">
        <f t="shared" ca="1" si="8"/>
        <v>-3884986.6709978567</v>
      </c>
      <c r="BQ27" s="3">
        <f t="shared" ca="1" si="8"/>
        <v>-4116000.000000007</v>
      </c>
    </row>
    <row r="30" spans="1:69">
      <c r="B30" s="25" t="s">
        <v>271</v>
      </c>
    </row>
  </sheetData>
  <conditionalFormatting sqref="F2:F3">
    <cfRule type="cellIs" dxfId="210" priority="1" stopIfTrue="1" operator="notEqual">
      <formula>0</formula>
    </cfRule>
    <cfRule type="cellIs" dxfId="209" priority="2" stopIfTrue="1" operator="equal">
      <formula>""</formula>
    </cfRule>
  </conditionalFormatting>
  <conditionalFormatting sqref="J3:BQ3">
    <cfRule type="cellIs" dxfId="208" priority="8" operator="equal">
      <formula>"PPA ext."</formula>
    </cfRule>
    <cfRule type="cellIs" dxfId="207" priority="9" operator="equal">
      <formula>"Delay"</formula>
    </cfRule>
    <cfRule type="cellIs" dxfId="206" priority="10" operator="equal">
      <formula>"Fin Close"</formula>
    </cfRule>
    <cfRule type="cellIs" dxfId="205" priority="11" stopIfTrue="1" operator="equal">
      <formula>"Construction"</formula>
    </cfRule>
    <cfRule type="cellIs" dxfId="204"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outlinePr summaryBelow="0" summaryRight="0"/>
  </sheetPr>
  <dimension ref="A1:BQ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777343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Working Capital</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264</v>
      </c>
    </row>
    <row r="9" spans="1:69" outlineLevel="1">
      <c r="A9" s="18"/>
      <c r="B9" s="18"/>
      <c r="C9" s="28"/>
      <c r="D9" s="27"/>
      <c r="E9" s="43" t="str">
        <f xml:space="preserve">  InpC!E$86</f>
        <v>VAT rate</v>
      </c>
      <c r="F9" s="43">
        <f xml:space="preserve">  InpC!F$86</f>
        <v>0.2</v>
      </c>
      <c r="G9" s="43" t="str">
        <f xml:space="preserve">  InpC!G$86</f>
        <v>%</v>
      </c>
      <c r="M9" s="57"/>
    </row>
    <row r="10" spans="1:69" outlineLevel="1">
      <c r="A10" s="18"/>
      <c r="B10" s="18"/>
      <c r="C10" s="28"/>
      <c r="D10" s="27"/>
      <c r="E10" s="4" t="str">
        <f xml:space="preserve">  InpC!E$34</f>
        <v>Order lead time (months)</v>
      </c>
      <c r="F10" s="4">
        <f xml:space="preserve">  InpC!F$34</f>
        <v>6</v>
      </c>
      <c r="G10" s="4" t="str">
        <f xml:space="preserve">  InpC!G$34</f>
        <v>Months</v>
      </c>
      <c r="M10" s="2"/>
    </row>
    <row r="11" spans="1:69" outlineLevel="1">
      <c r="A11" s="18"/>
      <c r="B11" s="18"/>
      <c r="C11" s="28"/>
      <c r="D11" s="27"/>
      <c r="E11" s="4" t="str">
        <f xml:space="preserve">  InpC!E$35</f>
        <v>Supplier price per unit</v>
      </c>
      <c r="F11" s="4">
        <f xml:space="preserve">  InpC!F$35</f>
        <v>35</v>
      </c>
      <c r="G11" s="4" t="str">
        <f xml:space="preserve">  InpC!G$35</f>
        <v>GBP</v>
      </c>
      <c r="M11" s="2"/>
    </row>
    <row r="12" spans="1:69" outlineLevel="1">
      <c r="A12" s="18"/>
      <c r="B12" s="18"/>
      <c r="C12" s="28"/>
      <c r="D12" s="27"/>
      <c r="E12" s="43" t="str">
        <f xml:space="preserve">  InpC!E$33</f>
        <v>Supplier order deposit</v>
      </c>
      <c r="F12" s="43">
        <f xml:space="preserve">  InpC!F$33</f>
        <v>0.3</v>
      </c>
      <c r="G12" s="43" t="str">
        <f xml:space="preserve">  InpC!G$33</f>
        <v>%</v>
      </c>
      <c r="M12" s="57"/>
    </row>
    <row r="13" spans="1:69" outlineLevel="1">
      <c r="A13" s="18"/>
      <c r="B13" s="18"/>
      <c r="C13" s="28"/>
      <c r="D13" s="27"/>
      <c r="E13" s="4" t="str">
        <f xml:space="preserve">  Inventory!E$33</f>
        <v>Units ordered</v>
      </c>
      <c r="F13" s="4">
        <f xml:space="preserve">  Inventory!F$33</f>
        <v>0</v>
      </c>
      <c r="G13" s="4" t="str">
        <f xml:space="preserve">  Inventory!G$33</f>
        <v>Units</v>
      </c>
      <c r="H13" s="4">
        <f ca="1" xml:space="preserve">  Inventory!H$33</f>
        <v>1650000</v>
      </c>
      <c r="I13" s="4">
        <f xml:space="preserve">  Inventory!I$33</f>
        <v>0</v>
      </c>
      <c r="J13" s="4">
        <f xml:space="preserve">  Inventory!J$33</f>
        <v>0</v>
      </c>
      <c r="K13" s="4">
        <f xml:space="preserve">  Inventory!K$33</f>
        <v>0</v>
      </c>
      <c r="L13" s="4">
        <f xml:space="preserve">  Inventory!L$33</f>
        <v>10000</v>
      </c>
      <c r="M13" s="4">
        <f xml:space="preserve">  Inventory!M$33</f>
        <v>10000</v>
      </c>
      <c r="N13" s="4">
        <f xml:space="preserve">  Inventory!N$33</f>
        <v>10000</v>
      </c>
      <c r="O13" s="4">
        <f xml:space="preserve">  Inventory!O$33</f>
        <v>0</v>
      </c>
      <c r="P13" s="4">
        <f xml:space="preserve">  Inventory!P$33</f>
        <v>10000</v>
      </c>
      <c r="Q13" s="4">
        <f xml:space="preserve">  Inventory!Q$33</f>
        <v>0</v>
      </c>
      <c r="R13" s="4">
        <f xml:space="preserve">  Inventory!R$33</f>
        <v>10000</v>
      </c>
      <c r="S13" s="4">
        <f xml:space="preserve">  Inventory!S$33</f>
        <v>0</v>
      </c>
      <c r="T13" s="4">
        <f xml:space="preserve">  Inventory!T$33</f>
        <v>0</v>
      </c>
      <c r="U13" s="4">
        <f xml:space="preserve">  Inventory!U$33</f>
        <v>0</v>
      </c>
      <c r="V13" s="4">
        <f ca="1" xml:space="preserve">  Inventory!V$33</f>
        <v>0</v>
      </c>
      <c r="W13" s="4">
        <f ca="1" xml:space="preserve">  Inventory!W$33</f>
        <v>0</v>
      </c>
      <c r="X13" s="4">
        <f ca="1" xml:space="preserve">  Inventory!X$33</f>
        <v>5000</v>
      </c>
      <c r="Y13" s="4">
        <f ca="1" xml:space="preserve">  Inventory!Y$33</f>
        <v>5000</v>
      </c>
      <c r="Z13" s="4">
        <f ca="1" xml:space="preserve">  Inventory!Z$33</f>
        <v>5000</v>
      </c>
      <c r="AA13" s="4">
        <f ca="1" xml:space="preserve">  Inventory!AA$33</f>
        <v>10000</v>
      </c>
      <c r="AB13" s="4">
        <f ca="1" xml:space="preserve">  Inventory!AB$33</f>
        <v>5000</v>
      </c>
      <c r="AC13" s="4">
        <f ca="1" xml:space="preserve">  Inventory!AC$33</f>
        <v>10000</v>
      </c>
      <c r="AD13" s="4">
        <f ca="1" xml:space="preserve">  Inventory!AD$33</f>
        <v>5000</v>
      </c>
      <c r="AE13" s="4">
        <f ca="1" xml:space="preserve">  Inventory!AE$33</f>
        <v>10000</v>
      </c>
      <c r="AF13" s="4">
        <f ca="1" xml:space="preserve">  Inventory!AF$33</f>
        <v>10000</v>
      </c>
      <c r="AG13" s="4">
        <f ca="1" xml:space="preserve">  Inventory!AG$33</f>
        <v>10000</v>
      </c>
      <c r="AH13" s="4">
        <f ca="1" xml:space="preserve">  Inventory!AH$33</f>
        <v>10000</v>
      </c>
      <c r="AI13" s="4">
        <f ca="1" xml:space="preserve">  Inventory!AI$33</f>
        <v>15000</v>
      </c>
      <c r="AJ13" s="4">
        <f ca="1" xml:space="preserve">  Inventory!AJ$33</f>
        <v>10000</v>
      </c>
      <c r="AK13" s="4">
        <f ca="1" xml:space="preserve">  Inventory!AK$33</f>
        <v>15000</v>
      </c>
      <c r="AL13" s="4">
        <f ca="1" xml:space="preserve">  Inventory!AL$33</f>
        <v>15000</v>
      </c>
      <c r="AM13" s="4">
        <f ca="1" xml:space="preserve">  Inventory!AM$33</f>
        <v>20000</v>
      </c>
      <c r="AN13" s="4">
        <f ca="1" xml:space="preserve">  Inventory!AN$33</f>
        <v>15000</v>
      </c>
      <c r="AO13" s="4">
        <f ca="1" xml:space="preserve">  Inventory!AO$33</f>
        <v>20000</v>
      </c>
      <c r="AP13" s="4">
        <f ca="1" xml:space="preserve">  Inventory!AP$33</f>
        <v>25000</v>
      </c>
      <c r="AQ13" s="4">
        <f ca="1" xml:space="preserve">  Inventory!AQ$33</f>
        <v>20000</v>
      </c>
      <c r="AR13" s="4">
        <f ca="1" xml:space="preserve">  Inventory!AR$33</f>
        <v>25000</v>
      </c>
      <c r="AS13" s="4">
        <f ca="1" xml:space="preserve">  Inventory!AS$33</f>
        <v>25000</v>
      </c>
      <c r="AT13" s="4">
        <f ca="1" xml:space="preserve">  Inventory!AT$33</f>
        <v>25000</v>
      </c>
      <c r="AU13" s="4">
        <f ca="1" xml:space="preserve">  Inventory!AU$33</f>
        <v>25000</v>
      </c>
      <c r="AV13" s="4">
        <f ca="1" xml:space="preserve">  Inventory!AV$33</f>
        <v>30000</v>
      </c>
      <c r="AW13" s="4">
        <f ca="1" xml:space="preserve">  Inventory!AW$33</f>
        <v>30000</v>
      </c>
      <c r="AX13" s="4">
        <f ca="1" xml:space="preserve">  Inventory!AX$33</f>
        <v>35000</v>
      </c>
      <c r="AY13" s="4">
        <f ca="1" xml:space="preserve">  Inventory!AY$33</f>
        <v>35000</v>
      </c>
      <c r="AZ13" s="4">
        <f ca="1" xml:space="preserve">  Inventory!AZ$33</f>
        <v>35000</v>
      </c>
      <c r="BA13" s="4">
        <f ca="1" xml:space="preserve">  Inventory!BA$33</f>
        <v>40000</v>
      </c>
      <c r="BB13" s="4">
        <f ca="1" xml:space="preserve">  Inventory!BB$33</f>
        <v>40000</v>
      </c>
      <c r="BC13" s="4">
        <f ca="1" xml:space="preserve">  Inventory!BC$33</f>
        <v>45000</v>
      </c>
      <c r="BD13" s="4">
        <f ca="1" xml:space="preserve">  Inventory!BD$33</f>
        <v>45000</v>
      </c>
      <c r="BE13" s="4">
        <f ca="1" xml:space="preserve">  Inventory!BE$33</f>
        <v>50000</v>
      </c>
      <c r="BF13" s="4">
        <f ca="1" xml:space="preserve">  Inventory!BF$33</f>
        <v>50000</v>
      </c>
      <c r="BG13" s="4">
        <f ca="1" xml:space="preserve">  Inventory!BG$33</f>
        <v>55000</v>
      </c>
      <c r="BH13" s="4">
        <f ca="1" xml:space="preserve">  Inventory!BH$33</f>
        <v>60000</v>
      </c>
      <c r="BI13" s="4">
        <f ca="1" xml:space="preserve">  Inventory!BI$33</f>
        <v>60000</v>
      </c>
      <c r="BJ13" s="4">
        <f ca="1" xml:space="preserve">  Inventory!BJ$33</f>
        <v>65000</v>
      </c>
      <c r="BK13" s="4">
        <f ca="1" xml:space="preserve">  Inventory!BK$33</f>
        <v>70000</v>
      </c>
      <c r="BL13" s="4">
        <f ca="1" xml:space="preserve">  Inventory!BL$33</f>
        <v>75000</v>
      </c>
      <c r="BM13" s="4">
        <f ca="1" xml:space="preserve">  Inventory!BM$33</f>
        <v>75000</v>
      </c>
      <c r="BN13" s="4">
        <f ca="1" xml:space="preserve">  Inventory!BN$33</f>
        <v>85000</v>
      </c>
      <c r="BO13" s="4">
        <f ca="1" xml:space="preserve">  Inventory!BO$33</f>
        <v>85000</v>
      </c>
      <c r="BP13" s="4">
        <f ca="1" xml:space="preserve">  Inventory!BP$33</f>
        <v>95000</v>
      </c>
      <c r="BQ13" s="4">
        <f ca="1" xml:space="preserve">  Inventory!BQ$33</f>
        <v>100000</v>
      </c>
    </row>
    <row r="14" spans="1:69" outlineLevel="1">
      <c r="E14" s="47" t="s">
        <v>307</v>
      </c>
      <c r="G14" s="47" t="s">
        <v>257</v>
      </c>
      <c r="H14" s="2">
        <f t="shared" ref="H14:H15" ca="1" si="0" xml:space="preserve"> SUM( J14:BQ14 )</f>
        <v>50694000</v>
      </c>
      <c r="J14" s="2">
        <f ca="1" xml:space="preserve">  ( 1 + $F9 ) * ( IF( Time!J28 &lt; 1 + $F10, 0, OFFSET( J13, 0, - 1 * ( $F10 ) ) ) * $F11 * ( 1 - $F12 ) ) + ( J13 * $F11 * $F12 )</f>
        <v>0</v>
      </c>
      <c r="K14" s="2">
        <f ca="1" xml:space="preserve">  ( 1 + $F9 ) * ( IF( Time!K28 &lt; 1 + $F10, 0, OFFSET( K13, 0, - 1 * ( $F10 ) ) ) * $F11 * ( 1 - $F12 ) ) + ( K13 * $F11 * $F12 )</f>
        <v>0</v>
      </c>
      <c r="L14" s="2">
        <f ca="1" xml:space="preserve">  ( 1 + $F9 ) * ( IF( Time!L28 &lt; 1 + $F10, 0, OFFSET( L13, 0, - 1 * ( $F10 ) ) ) * $F11 * ( 1 - $F12 ) ) + ( L13 * $F11 * $F12 )</f>
        <v>105000</v>
      </c>
      <c r="M14" s="2">
        <f ca="1" xml:space="preserve">  ( 1 + $F9 ) * ( IF( Time!M28 &lt; 1 + $F10, 0, OFFSET( M13, 0, - 1 * ( $F10 ) ) ) * $F11 * ( 1 - $F12 ) ) + ( M13 * $F11 * $F12 )</f>
        <v>105000</v>
      </c>
      <c r="N14" s="2">
        <f ca="1" xml:space="preserve">  ( 1 + $F9 ) * ( IF( Time!N28 &lt; 1 + $F10, 0, OFFSET( N13, 0, - 1 * ( $F10 ) ) ) * $F11 * ( 1 - $F12 ) ) + ( N13 * $F11 * $F12 )</f>
        <v>105000</v>
      </c>
      <c r="O14" s="2">
        <f ca="1" xml:space="preserve">  ( 1 + $F9 ) * ( IF( Time!O28 &lt; 1 + $F10, 0, OFFSET( O13, 0, - 1 * ( $F10 ) ) ) * $F11 * ( 1 - $F12 ) ) + ( O13 * $F11 * $F12 )</f>
        <v>0</v>
      </c>
      <c r="P14" s="2">
        <f ca="1" xml:space="preserve">  ( 1 + $F9 ) * ( IF( Time!P28 &lt; 1 + $F10, 0, OFFSET( P13, 0, - 1 * ( $F10 ) ) ) * $F11 * ( 1 - $F12 ) ) + ( P13 * $F11 * $F12 )</f>
        <v>105000</v>
      </c>
      <c r="Q14" s="2">
        <f ca="1" xml:space="preserve">  ( 1 + $F9 ) * ( IF( Time!Q28 &lt; 1 + $F10, 0, OFFSET( Q13, 0, - 1 * ( $F10 ) ) ) * $F11 * ( 1 - $F12 ) ) + ( Q13 * $F11 * $F12 )</f>
        <v>0</v>
      </c>
      <c r="R14" s="2">
        <f ca="1" xml:space="preserve">  ( 1 + $F9 ) * ( IF( Time!R28 &lt; 1 + $F10, 0, OFFSET( R13, 0, - 1 * ( $F10 ) ) ) * $F11 * ( 1 - $F12 ) ) + ( R13 * $F11 * $F12 )</f>
        <v>398999.99999999994</v>
      </c>
      <c r="S14" s="2">
        <f ca="1" xml:space="preserve">  ( 1 + $F9 ) * ( IF( Time!S28 &lt; 1 + $F10, 0, OFFSET( S13, 0, - 1 * ( $F10 ) ) ) * $F11 * ( 1 - $F12 ) ) + ( S13 * $F11 * $F12 )</f>
        <v>293999.99999999994</v>
      </c>
      <c r="T14" s="2">
        <f ca="1" xml:space="preserve">  ( 1 + $F9 ) * ( IF( Time!T28 &lt; 1 + $F10, 0, OFFSET( T13, 0, - 1 * ( $F10 ) ) ) * $F11 * ( 1 - $F12 ) ) + ( T13 * $F11 * $F12 )</f>
        <v>293999.99999999994</v>
      </c>
      <c r="U14" s="2">
        <f ca="1" xml:space="preserve">  ( 1 + $F9 ) * ( IF( Time!U28 &lt; 1 + $F10, 0, OFFSET( U13, 0, - 1 * ( $F10 ) ) ) * $F11 * ( 1 - $F12 ) ) + ( U13 * $F11 * $F12 )</f>
        <v>0</v>
      </c>
      <c r="V14" s="2">
        <f ca="1" xml:space="preserve">  ( 1 + $F9 ) * ( IF( Time!V28 &lt; 1 + $F10, 0, OFFSET( V13, 0, - 1 * ( $F10 ) ) ) * $F11 * ( 1 - $F12 ) ) + ( V13 * $F11 * $F12 )</f>
        <v>293999.99999999994</v>
      </c>
      <c r="W14" s="2">
        <f ca="1" xml:space="preserve">  ( 1 + $F9 ) * ( IF( Time!W28 &lt; 1 + $F10, 0, OFFSET( W13, 0, - 1 * ( $F10 ) ) ) * $F11 * ( 1 - $F12 ) ) + ( W13 * $F11 * $F12 )</f>
        <v>0</v>
      </c>
      <c r="X14" s="2">
        <f ca="1" xml:space="preserve">  ( 1 + $F9 ) * ( IF( Time!X28 &lt; 1 + $F10, 0, OFFSET( X13, 0, - 1 * ( $F10 ) ) ) * $F11 * ( 1 - $F12 ) ) + ( X13 * $F11 * $F12 )</f>
        <v>346499.99999999994</v>
      </c>
      <c r="Y14" s="2">
        <f ca="1" xml:space="preserve">  ( 1 + $F9 ) * ( IF( Time!Y28 &lt; 1 + $F10, 0, OFFSET( Y13, 0, - 1 * ( $F10 ) ) ) * $F11 * ( 1 - $F12 ) ) + ( Y13 * $F11 * $F12 )</f>
        <v>52500</v>
      </c>
      <c r="Z14" s="2">
        <f ca="1" xml:space="preserve">  ( 1 + $F9 ) * ( IF( Time!Z28 &lt; 1 + $F10, 0, OFFSET( Z13, 0, - 1 * ( $F10 ) ) ) * $F11 * ( 1 - $F12 ) ) + ( Z13 * $F11 * $F12 )</f>
        <v>52500</v>
      </c>
      <c r="AA14" s="2">
        <f ca="1" xml:space="preserve">  ( 1 + $F9 ) * ( IF( Time!AA28 &lt; 1 + $F10, 0, OFFSET( AA13, 0, - 1 * ( $F10 ) ) ) * $F11 * ( 1 - $F12 ) ) + ( AA13 * $F11 * $F12 )</f>
        <v>105000</v>
      </c>
      <c r="AB14" s="2">
        <f ca="1" xml:space="preserve">  ( 1 + $F9 ) * ( IF( Time!AB28 &lt; 1 + $F10, 0, OFFSET( AB13, 0, - 1 * ( $F10 ) ) ) * $F11 * ( 1 - $F12 ) ) + ( AB13 * $F11 * $F12 )</f>
        <v>52500</v>
      </c>
      <c r="AC14" s="2">
        <f ca="1" xml:space="preserve">  ( 1 + $F9 ) * ( IF( Time!AC28 &lt; 1 + $F10, 0, OFFSET( AC13, 0, - 1 * ( $F10 ) ) ) * $F11 * ( 1 - $F12 ) ) + ( AC13 * $F11 * $F12 )</f>
        <v>105000</v>
      </c>
      <c r="AD14" s="2">
        <f ca="1" xml:space="preserve">  ( 1 + $F9 ) * ( IF( Time!AD28 &lt; 1 + $F10, 0, OFFSET( AD13, 0, - 1 * ( $F10 ) ) ) * $F11 * ( 1 - $F12 ) ) + ( AD13 * $F11 * $F12 )</f>
        <v>199499.99999999997</v>
      </c>
      <c r="AE14" s="2">
        <f ca="1" xml:space="preserve">  ( 1 + $F9 ) * ( IF( Time!AE28 &lt; 1 + $F10, 0, OFFSET( AE13, 0, - 1 * ( $F10 ) ) ) * $F11 * ( 1 - $F12 ) ) + ( AE13 * $F11 * $F12 )</f>
        <v>251999.99999999997</v>
      </c>
      <c r="AF14" s="2">
        <f ca="1" xml:space="preserve">  ( 1 + $F9 ) * ( IF( Time!AF28 &lt; 1 + $F10, 0, OFFSET( AF13, 0, - 1 * ( $F10 ) ) ) * $F11 * ( 1 - $F12 ) ) + ( AF13 * $F11 * $F12 )</f>
        <v>251999.99999999997</v>
      </c>
      <c r="AG14" s="2">
        <f ca="1" xml:space="preserve">  ( 1 + $F9 ) * ( IF( Time!AG28 &lt; 1 + $F10, 0, OFFSET( AG13, 0, - 1 * ( $F10 ) ) ) * $F11 * ( 1 - $F12 ) ) + ( AG13 * $F11 * $F12 )</f>
        <v>398999.99999999994</v>
      </c>
      <c r="AH14" s="2">
        <f ca="1" xml:space="preserve">  ( 1 + $F9 ) * ( IF( Time!AH28 &lt; 1 + $F10, 0, OFFSET( AH13, 0, - 1 * ( $F10 ) ) ) * $F11 * ( 1 - $F12 ) ) + ( AH13 * $F11 * $F12 )</f>
        <v>251999.99999999997</v>
      </c>
      <c r="AI14" s="2">
        <f ca="1" xml:space="preserve">  ( 1 + $F9 ) * ( IF( Time!AI28 &lt; 1 + $F10, 0, OFFSET( AI13, 0, - 1 * ( $F10 ) ) ) * $F11 * ( 1 - $F12 ) ) + ( AI13 * $F11 * $F12 )</f>
        <v>451499.99999999994</v>
      </c>
      <c r="AJ14" s="2">
        <f ca="1" xml:space="preserve">  ( 1 + $F9 ) * ( IF( Time!AJ28 &lt; 1 + $F10, 0, OFFSET( AJ13, 0, - 1 * ( $F10 ) ) ) * $F11 * ( 1 - $F12 ) ) + ( AJ13 * $F11 * $F12 )</f>
        <v>251999.99999999997</v>
      </c>
      <c r="AK14" s="2">
        <f ca="1" xml:space="preserve">  ( 1 + $F9 ) * ( IF( Time!AK28 &lt; 1 + $F10, 0, OFFSET( AK13, 0, - 1 * ( $F10 ) ) ) * $F11 * ( 1 - $F12 ) ) + ( AK13 * $F11 * $F12 )</f>
        <v>451499.99999999994</v>
      </c>
      <c r="AL14" s="2">
        <f ca="1" xml:space="preserve">  ( 1 + $F9 ) * ( IF( Time!AL28 &lt; 1 + $F10, 0, OFFSET( AL13, 0, - 1 * ( $F10 ) ) ) * $F11 * ( 1 - $F12 ) ) + ( AL13 * $F11 * $F12 )</f>
        <v>451499.99999999994</v>
      </c>
      <c r="AM14" s="2">
        <f ca="1" xml:space="preserve">  ( 1 + $F9 ) * ( IF( Time!AM28 &lt; 1 + $F10, 0, OFFSET( AM13, 0, - 1 * ( $F10 ) ) ) * $F11 * ( 1 - $F12 ) ) + ( AM13 * $F11 * $F12 )</f>
        <v>503999.99999999994</v>
      </c>
      <c r="AN14" s="2">
        <f ca="1" xml:space="preserve">  ( 1 + $F9 ) * ( IF( Time!AN28 &lt; 1 + $F10, 0, OFFSET( AN13, 0, - 1 * ( $F10 ) ) ) * $F11 * ( 1 - $F12 ) ) + ( AN13 * $F11 * $F12 )</f>
        <v>451499.99999999994</v>
      </c>
      <c r="AO14" s="2">
        <f ca="1" xml:space="preserve">  ( 1 + $F9 ) * ( IF( Time!AO28 &lt; 1 + $F10, 0, OFFSET( AO13, 0, - 1 * ( $F10 ) ) ) * $F11 * ( 1 - $F12 ) ) + ( AO13 * $F11 * $F12 )</f>
        <v>651000</v>
      </c>
      <c r="AP14" s="2">
        <f ca="1" xml:space="preserve">  ( 1 + $F9 ) * ( IF( Time!AP28 &lt; 1 + $F10, 0, OFFSET( AP13, 0, - 1 * ( $F10 ) ) ) * $F11 * ( 1 - $F12 ) ) + ( AP13 * $F11 * $F12 )</f>
        <v>556500</v>
      </c>
      <c r="AQ14" s="2">
        <f ca="1" xml:space="preserve">  ( 1 + $F9 ) * ( IF( Time!AQ28 &lt; 1 + $F10, 0, OFFSET( AQ13, 0, - 1 * ( $F10 ) ) ) * $F11 * ( 1 - $F12 ) ) + ( AQ13 * $F11 * $F12 )</f>
        <v>651000</v>
      </c>
      <c r="AR14" s="2">
        <f ca="1" xml:space="preserve">  ( 1 + $F9 ) * ( IF( Time!AR28 &lt; 1 + $F10, 0, OFFSET( AR13, 0, - 1 * ( $F10 ) ) ) * $F11 * ( 1 - $F12 ) ) + ( AR13 * $F11 * $F12 )</f>
        <v>703500</v>
      </c>
      <c r="AS14" s="2">
        <f ca="1" xml:space="preserve">  ( 1 + $F9 ) * ( IF( Time!AS28 &lt; 1 + $F10, 0, OFFSET( AS13, 0, - 1 * ( $F10 ) ) ) * $F11 * ( 1 - $F12 ) ) + ( AS13 * $F11 * $F12 )</f>
        <v>850499.99999999988</v>
      </c>
      <c r="AT14" s="2">
        <f ca="1" xml:space="preserve">  ( 1 + $F9 ) * ( IF( Time!AT28 &lt; 1 + $F10, 0, OFFSET( AT13, 0, - 1 * ( $F10 ) ) ) * $F11 * ( 1 - $F12 ) ) + ( AT13 * $F11 * $F12 )</f>
        <v>703500</v>
      </c>
      <c r="AU14" s="2">
        <f ca="1" xml:space="preserve">  ( 1 + $F9 ) * ( IF( Time!AU28 &lt; 1 + $F10, 0, OFFSET( AU13, 0, - 1 * ( $F10 ) ) ) * $F11 * ( 1 - $F12 ) ) + ( AU13 * $F11 * $F12 )</f>
        <v>850499.99999999988</v>
      </c>
      <c r="AV14" s="2">
        <f ca="1" xml:space="preserve">  ( 1 + $F9 ) * ( IF( Time!AV28 &lt; 1 + $F10, 0, OFFSET( AV13, 0, - 1 * ( $F10 ) ) ) * $F11 * ( 1 - $F12 ) ) + ( AV13 * $F11 * $F12 )</f>
        <v>1050000</v>
      </c>
      <c r="AW14" s="2">
        <f ca="1" xml:space="preserve">  ( 1 + $F9 ) * ( IF( Time!AW28 &lt; 1 + $F10, 0, OFFSET( AW13, 0, - 1 * ( $F10 ) ) ) * $F11 * ( 1 - $F12 ) ) + ( AW13 * $F11 * $F12 )</f>
        <v>902999.99999999988</v>
      </c>
      <c r="AX14" s="2">
        <f ca="1" xml:space="preserve">  ( 1 + $F9 ) * ( IF( Time!AX28 &lt; 1 + $F10, 0, OFFSET( AX13, 0, - 1 * ( $F10 ) ) ) * $F11 * ( 1 - $F12 ) ) + ( AX13 * $F11 * $F12 )</f>
        <v>1102500</v>
      </c>
      <c r="AY14" s="2">
        <f ca="1" xml:space="preserve">  ( 1 + $F9 ) * ( IF( Time!AY28 &lt; 1 + $F10, 0, OFFSET( AY13, 0, - 1 * ( $F10 ) ) ) * $F11 * ( 1 - $F12 ) ) + ( AY13 * $F11 * $F12 )</f>
        <v>1102500</v>
      </c>
      <c r="AZ14" s="2">
        <f ca="1" xml:space="preserve">  ( 1 + $F9 ) * ( IF( Time!AZ28 &lt; 1 + $F10, 0, OFFSET( AZ13, 0, - 1 * ( $F10 ) ) ) * $F11 * ( 1 - $F12 ) ) + ( AZ13 * $F11 * $F12 )</f>
        <v>1102500</v>
      </c>
      <c r="BA14" s="2">
        <f ca="1" xml:space="preserve">  ( 1 + $F9 ) * ( IF( Time!BA28 &lt; 1 + $F10, 0, OFFSET( BA13, 0, - 1 * ( $F10 ) ) ) * $F11 * ( 1 - $F12 ) ) + ( BA13 * $F11 * $F12 )</f>
        <v>1155000</v>
      </c>
      <c r="BB14" s="2">
        <f ca="1" xml:space="preserve">  ( 1 + $F9 ) * ( IF( Time!BB28 &lt; 1 + $F10, 0, OFFSET( BB13, 0, - 1 * ( $F10 ) ) ) * $F11 * ( 1 - $F12 ) ) + ( BB13 * $F11 * $F12 )</f>
        <v>1302000</v>
      </c>
      <c r="BC14" s="2">
        <f ca="1" xml:space="preserve">  ( 1 + $F9 ) * ( IF( Time!BC28 &lt; 1 + $F10, 0, OFFSET( BC13, 0, - 1 * ( $F10 ) ) ) * $F11 * ( 1 - $F12 ) ) + ( BC13 * $F11 * $F12 )</f>
        <v>1354500</v>
      </c>
      <c r="BD14" s="2">
        <f ca="1" xml:space="preserve">  ( 1 + $F9 ) * ( IF( Time!BD28 &lt; 1 + $F10, 0, OFFSET( BD13, 0, - 1 * ( $F10 ) ) ) * $F11 * ( 1 - $F12 ) ) + ( BD13 * $F11 * $F12 )</f>
        <v>1501500</v>
      </c>
      <c r="BE14" s="2">
        <f ca="1" xml:space="preserve">  ( 1 + $F9 ) * ( IF( Time!BE28 &lt; 1 + $F10, 0, OFFSET( BE13, 0, - 1 * ( $F10 ) ) ) * $F11 * ( 1 - $F12 ) ) + ( BE13 * $F11 * $F12 )</f>
        <v>1554000</v>
      </c>
      <c r="BF14" s="2">
        <f ca="1" xml:space="preserve">  ( 1 + $F9 ) * ( IF( Time!BF28 &lt; 1 + $F10, 0, OFFSET( BF13, 0, - 1 * ( $F10 ) ) ) * $F11 * ( 1 - $F12 ) ) + ( BF13 * $F11 * $F12 )</f>
        <v>1554000</v>
      </c>
      <c r="BG14" s="2">
        <f ca="1" xml:space="preserve">  ( 1 + $F9 ) * ( IF( Time!BG28 &lt; 1 + $F10, 0, OFFSET( BG13, 0, - 1 * ( $F10 ) ) ) * $F11 * ( 1 - $F12 ) ) + ( BG13 * $F11 * $F12 )</f>
        <v>1753499.9999999998</v>
      </c>
      <c r="BH14" s="2">
        <f ca="1" xml:space="preserve">  ( 1 + $F9 ) * ( IF( Time!BH28 &lt; 1 + $F10, 0, OFFSET( BH13, 0, - 1 * ( $F10 ) ) ) * $F11 * ( 1 - $F12 ) ) + ( BH13 * $F11 * $F12 )</f>
        <v>1805999.9999999998</v>
      </c>
      <c r="BI14" s="2">
        <f ca="1" xml:space="preserve">  ( 1 + $F9 ) * ( IF( Time!BI28 &lt; 1 + $F10, 0, OFFSET( BI13, 0, - 1 * ( $F10 ) ) ) * $F11 * ( 1 - $F12 ) ) + ( BI13 * $F11 * $F12 )</f>
        <v>1953000</v>
      </c>
      <c r="BJ14" s="2">
        <f ca="1" xml:space="preserve">  ( 1 + $F9 ) * ( IF( Time!BJ28 &lt; 1 + $F10, 0, OFFSET( BJ13, 0, - 1 * ( $F10 ) ) ) * $F11 * ( 1 - $F12 ) ) + ( BJ13 * $F11 * $F12 )</f>
        <v>2005500</v>
      </c>
      <c r="BK14" s="2">
        <f ca="1" xml:space="preserve">  ( 1 + $F9 ) * ( IF( Time!BK28 &lt; 1 + $F10, 0, OFFSET( BK13, 0, - 1 * ( $F10 ) ) ) * $F11 * ( 1 - $F12 ) ) + ( BK13 * $F11 * $F12 )</f>
        <v>2205000</v>
      </c>
      <c r="BL14" s="2">
        <f ca="1" xml:space="preserve">  ( 1 + $F9 ) * ( IF( Time!BL28 &lt; 1 + $F10, 0, OFFSET( BL13, 0, - 1 * ( $F10 ) ) ) * $F11 * ( 1 - $F12 ) ) + ( BL13 * $F11 * $F12 )</f>
        <v>2257500</v>
      </c>
      <c r="BM14" s="2">
        <f ca="1" xml:space="preserve">  ( 1 + $F9 ) * ( IF( Time!BM28 &lt; 1 + $F10, 0, OFFSET( BM13, 0, - 1 * ( $F10 ) ) ) * $F11 * ( 1 - $F12 ) ) + ( BM13 * $F11 * $F12 )</f>
        <v>2404500</v>
      </c>
      <c r="BN14" s="2">
        <f ca="1" xml:space="preserve">  ( 1 + $F9 ) * ( IF( Time!BN28 &lt; 1 + $F10, 0, OFFSET( BN13, 0, - 1 * ( $F10 ) ) ) * $F11 * ( 1 - $F12 ) ) + ( BN13 * $F11 * $F12 )</f>
        <v>2656500</v>
      </c>
      <c r="BO14" s="2">
        <f ca="1" xml:space="preserve">  ( 1 + $F9 ) * ( IF( Time!BO28 &lt; 1 + $F10, 0, OFFSET( BO13, 0, - 1 * ( $F10 ) ) ) * $F11 * ( 1 - $F12 ) ) + ( BO13 * $F11 * $F12 )</f>
        <v>2656500</v>
      </c>
      <c r="BP14" s="2">
        <f ca="1" xml:space="preserve">  ( 1 + $F9 ) * ( IF( Time!BP28 &lt; 1 + $F10, 0, OFFSET( BP13, 0, - 1 * ( $F10 ) ) ) * $F11 * ( 1 - $F12 ) ) + ( BP13 * $F11 * $F12 )</f>
        <v>2908500</v>
      </c>
      <c r="BQ14" s="2">
        <f ca="1" xml:space="preserve">  ( 1 + $F9 ) * ( IF( Time!BQ28 &lt; 1 + $F10, 0, OFFSET( BQ13, 0, - 1 * ( $F10 ) ) ) * $F11 * ( 1 - $F12 ) ) + ( BQ13 * $F11 * $F12 )</f>
        <v>3108000</v>
      </c>
    </row>
    <row r="15" spans="1:69" outlineLevel="1">
      <c r="A15" s="34"/>
      <c r="B15" s="34"/>
      <c r="C15" s="64"/>
      <c r="D15" s="65"/>
      <c r="E15" s="21" t="str">
        <f xml:space="preserve"> LEFT($E$14, LEN($E$14) - 3 )</f>
        <v xml:space="preserve">Cash out on Inventory </v>
      </c>
      <c r="F15" s="21"/>
      <c r="G15" s="21" t="str">
        <f xml:space="preserve"> G$14</f>
        <v>GBP</v>
      </c>
      <c r="H15" s="3">
        <f t="shared" ca="1" si="0"/>
        <v>-50694000</v>
      </c>
      <c r="I15" s="21"/>
      <c r="J15" s="3">
        <f t="shared" ref="J15:BQ15" ca="1" si="1" xml:space="preserve"> -1 * J14</f>
        <v>0</v>
      </c>
      <c r="K15" s="3">
        <f t="shared" ca="1" si="1"/>
        <v>0</v>
      </c>
      <c r="L15" s="3">
        <f t="shared" ca="1" si="1"/>
        <v>-105000</v>
      </c>
      <c r="M15" s="3">
        <f t="shared" ca="1" si="1"/>
        <v>-105000</v>
      </c>
      <c r="N15" s="3">
        <f t="shared" ca="1" si="1"/>
        <v>-105000</v>
      </c>
      <c r="O15" s="3">
        <f t="shared" ca="1" si="1"/>
        <v>0</v>
      </c>
      <c r="P15" s="3">
        <f t="shared" ca="1" si="1"/>
        <v>-105000</v>
      </c>
      <c r="Q15" s="3">
        <f t="shared" ca="1" si="1"/>
        <v>0</v>
      </c>
      <c r="R15" s="3">
        <f t="shared" ca="1" si="1"/>
        <v>-398999.99999999994</v>
      </c>
      <c r="S15" s="3">
        <f t="shared" ca="1" si="1"/>
        <v>-293999.99999999994</v>
      </c>
      <c r="T15" s="3">
        <f t="shared" ca="1" si="1"/>
        <v>-293999.99999999994</v>
      </c>
      <c r="U15" s="3">
        <f t="shared" ca="1" si="1"/>
        <v>0</v>
      </c>
      <c r="V15" s="3">
        <f t="shared" ca="1" si="1"/>
        <v>-293999.99999999994</v>
      </c>
      <c r="W15" s="3">
        <f t="shared" ca="1" si="1"/>
        <v>0</v>
      </c>
      <c r="X15" s="3">
        <f t="shared" ca="1" si="1"/>
        <v>-346499.99999999994</v>
      </c>
      <c r="Y15" s="3">
        <f t="shared" ca="1" si="1"/>
        <v>-52500</v>
      </c>
      <c r="Z15" s="3">
        <f t="shared" ca="1" si="1"/>
        <v>-52500</v>
      </c>
      <c r="AA15" s="3">
        <f t="shared" ca="1" si="1"/>
        <v>-105000</v>
      </c>
      <c r="AB15" s="3">
        <f t="shared" ca="1" si="1"/>
        <v>-52500</v>
      </c>
      <c r="AC15" s="3">
        <f t="shared" ca="1" si="1"/>
        <v>-105000</v>
      </c>
      <c r="AD15" s="3">
        <f t="shared" ca="1" si="1"/>
        <v>-199499.99999999997</v>
      </c>
      <c r="AE15" s="3">
        <f t="shared" ca="1" si="1"/>
        <v>-251999.99999999997</v>
      </c>
      <c r="AF15" s="3">
        <f t="shared" ca="1" si="1"/>
        <v>-251999.99999999997</v>
      </c>
      <c r="AG15" s="3">
        <f t="shared" ca="1" si="1"/>
        <v>-398999.99999999994</v>
      </c>
      <c r="AH15" s="3">
        <f t="shared" ca="1" si="1"/>
        <v>-251999.99999999997</v>
      </c>
      <c r="AI15" s="3">
        <f t="shared" ca="1" si="1"/>
        <v>-451499.99999999994</v>
      </c>
      <c r="AJ15" s="3">
        <f t="shared" ca="1" si="1"/>
        <v>-251999.99999999997</v>
      </c>
      <c r="AK15" s="3">
        <f t="shared" ca="1" si="1"/>
        <v>-451499.99999999994</v>
      </c>
      <c r="AL15" s="3">
        <f t="shared" ca="1" si="1"/>
        <v>-451499.99999999994</v>
      </c>
      <c r="AM15" s="3">
        <f t="shared" ca="1" si="1"/>
        <v>-503999.99999999994</v>
      </c>
      <c r="AN15" s="3">
        <f t="shared" ca="1" si="1"/>
        <v>-451499.99999999994</v>
      </c>
      <c r="AO15" s="3">
        <f t="shared" ca="1" si="1"/>
        <v>-651000</v>
      </c>
      <c r="AP15" s="3">
        <f t="shared" ca="1" si="1"/>
        <v>-556500</v>
      </c>
      <c r="AQ15" s="3">
        <f t="shared" ca="1" si="1"/>
        <v>-651000</v>
      </c>
      <c r="AR15" s="3">
        <f t="shared" ca="1" si="1"/>
        <v>-703500</v>
      </c>
      <c r="AS15" s="3">
        <f t="shared" ca="1" si="1"/>
        <v>-850499.99999999988</v>
      </c>
      <c r="AT15" s="3">
        <f t="shared" ca="1" si="1"/>
        <v>-703500</v>
      </c>
      <c r="AU15" s="3">
        <f t="shared" ca="1" si="1"/>
        <v>-850499.99999999988</v>
      </c>
      <c r="AV15" s="3">
        <f t="shared" ca="1" si="1"/>
        <v>-1050000</v>
      </c>
      <c r="AW15" s="3">
        <f t="shared" ca="1" si="1"/>
        <v>-902999.99999999988</v>
      </c>
      <c r="AX15" s="3">
        <f t="shared" ca="1" si="1"/>
        <v>-1102500</v>
      </c>
      <c r="AY15" s="3">
        <f t="shared" ca="1" si="1"/>
        <v>-1102500</v>
      </c>
      <c r="AZ15" s="3">
        <f t="shared" ca="1" si="1"/>
        <v>-1102500</v>
      </c>
      <c r="BA15" s="3">
        <f t="shared" ca="1" si="1"/>
        <v>-1155000</v>
      </c>
      <c r="BB15" s="3">
        <f t="shared" ca="1" si="1"/>
        <v>-1302000</v>
      </c>
      <c r="BC15" s="3">
        <f t="shared" ca="1" si="1"/>
        <v>-1354500</v>
      </c>
      <c r="BD15" s="3">
        <f t="shared" ca="1" si="1"/>
        <v>-1501500</v>
      </c>
      <c r="BE15" s="3">
        <f t="shared" ca="1" si="1"/>
        <v>-1554000</v>
      </c>
      <c r="BF15" s="3">
        <f t="shared" ca="1" si="1"/>
        <v>-1554000</v>
      </c>
      <c r="BG15" s="3">
        <f t="shared" ca="1" si="1"/>
        <v>-1753499.9999999998</v>
      </c>
      <c r="BH15" s="3">
        <f t="shared" ca="1" si="1"/>
        <v>-1805999.9999999998</v>
      </c>
      <c r="BI15" s="3">
        <f t="shared" ca="1" si="1"/>
        <v>-1953000</v>
      </c>
      <c r="BJ15" s="3">
        <f t="shared" ca="1" si="1"/>
        <v>-2005500</v>
      </c>
      <c r="BK15" s="3">
        <f t="shared" ca="1" si="1"/>
        <v>-2205000</v>
      </c>
      <c r="BL15" s="3">
        <f t="shared" ca="1" si="1"/>
        <v>-2257500</v>
      </c>
      <c r="BM15" s="3">
        <f t="shared" ca="1" si="1"/>
        <v>-2404500</v>
      </c>
      <c r="BN15" s="3">
        <f t="shared" ca="1" si="1"/>
        <v>-2656500</v>
      </c>
      <c r="BO15" s="3">
        <f t="shared" ca="1" si="1"/>
        <v>-2656500</v>
      </c>
      <c r="BP15" s="3">
        <f t="shared" ca="1" si="1"/>
        <v>-2908500</v>
      </c>
      <c r="BQ15" s="3">
        <f t="shared" ca="1" si="1"/>
        <v>-3108000</v>
      </c>
    </row>
    <row r="18" spans="1:69">
      <c r="B18" s="25" t="s">
        <v>61</v>
      </c>
    </row>
    <row r="19" spans="1:69" outlineLevel="1">
      <c r="A19" s="18"/>
      <c r="B19" s="18"/>
      <c r="C19" s="28"/>
      <c r="D19" s="27"/>
      <c r="E19" s="4" t="str">
        <f xml:space="preserve">  InpC!E$20</f>
        <v>Customer payment terms (months)</v>
      </c>
      <c r="F19" s="4">
        <f xml:space="preserve">  InpC!F$20</f>
        <v>2</v>
      </c>
      <c r="G19" s="4" t="str">
        <f xml:space="preserve">  InpC!G$20</f>
        <v>Months</v>
      </c>
      <c r="M19" s="2"/>
    </row>
    <row r="20" spans="1:69" outlineLevel="1">
      <c r="A20" s="18"/>
      <c r="B20" s="18"/>
      <c r="C20" s="28"/>
      <c r="D20" s="27"/>
      <c r="E20" s="4" t="str">
        <f xml:space="preserve">  Income!E$12</f>
        <v>New Deferred Income from customer orders</v>
      </c>
      <c r="F20" s="4">
        <f xml:space="preserve">  Income!F$12</f>
        <v>0</v>
      </c>
      <c r="G20" s="4" t="str">
        <f xml:space="preserve">  Income!G$12</f>
        <v>GBP</v>
      </c>
      <c r="H20" s="4">
        <f ca="1" xml:space="preserve">  Income!H$12</f>
        <v>655200000</v>
      </c>
      <c r="I20" s="4">
        <f xml:space="preserve">  Income!I$12</f>
        <v>0</v>
      </c>
      <c r="J20" s="4">
        <f ca="1" xml:space="preserve">  Income!J$12</f>
        <v>0</v>
      </c>
      <c r="K20" s="4">
        <f ca="1" xml:space="preserve">  Income!K$12</f>
        <v>0</v>
      </c>
      <c r="L20" s="4">
        <f ca="1" xml:space="preserve">  Income!L$12</f>
        <v>840000</v>
      </c>
      <c r="M20" s="4">
        <f ca="1" xml:space="preserve">  Income!M$12</f>
        <v>420000</v>
      </c>
      <c r="N20" s="4">
        <f ca="1" xml:space="preserve">  Income!N$12</f>
        <v>420000</v>
      </c>
      <c r="O20" s="4">
        <f ca="1" xml:space="preserve">  Income!O$12</f>
        <v>420000</v>
      </c>
      <c r="P20" s="4">
        <f ca="1" xml:space="preserve">  Income!P$12</f>
        <v>2100000</v>
      </c>
      <c r="Q20" s="4">
        <f ca="1" xml:space="preserve">  Income!Q$12</f>
        <v>1260000</v>
      </c>
      <c r="R20" s="4">
        <f ca="1" xml:space="preserve">  Income!R$12</f>
        <v>840000</v>
      </c>
      <c r="S20" s="4">
        <f ca="1" xml:space="preserve">  Income!S$12</f>
        <v>0</v>
      </c>
      <c r="T20" s="4">
        <f ca="1" xml:space="preserve">  Income!T$12</f>
        <v>4200000</v>
      </c>
      <c r="U20" s="4">
        <f ca="1" xml:space="preserve">  Income!U$12</f>
        <v>0</v>
      </c>
      <c r="V20" s="4">
        <f ca="1" xml:space="preserve">  Income!V$12</f>
        <v>4200000</v>
      </c>
      <c r="W20" s="4">
        <f ca="1" xml:space="preserve">  Income!W$12</f>
        <v>3484872.4981545196</v>
      </c>
      <c r="X20" s="4">
        <f ca="1" xml:space="preserve">  Income!X$12</f>
        <v>1555127.5018454804</v>
      </c>
      <c r="Y20" s="4">
        <f ca="1" xml:space="preserve">  Income!Y$12</f>
        <v>4559377.741109916</v>
      </c>
      <c r="Z20" s="4">
        <f ca="1" xml:space="preserve">  Income!Z$12</f>
        <v>480622.25889008382</v>
      </c>
      <c r="AA20" s="4">
        <f ca="1" xml:space="preserve">  Income!AA$12</f>
        <v>420000</v>
      </c>
      <c r="AB20" s="4">
        <f ca="1" xml:space="preserve">  Income!AB$12</f>
        <v>2100000</v>
      </c>
      <c r="AC20" s="4">
        <f ca="1" xml:space="preserve">  Income!AC$12</f>
        <v>1260000</v>
      </c>
      <c r="AD20" s="4">
        <f ca="1" xml:space="preserve">  Income!AD$12</f>
        <v>840000</v>
      </c>
      <c r="AE20" s="4">
        <f ca="1" xml:space="preserve">  Income!AE$12</f>
        <v>2100000</v>
      </c>
      <c r="AF20" s="4">
        <f ca="1" xml:space="preserve">  Income!AF$12</f>
        <v>6300000</v>
      </c>
      <c r="AG20" s="4">
        <f ca="1" xml:space="preserve">  Income!AG$12</f>
        <v>2100000</v>
      </c>
      <c r="AH20" s="4">
        <f ca="1" xml:space="preserve">  Income!AH$12</f>
        <v>8400000</v>
      </c>
      <c r="AI20" s="4">
        <f ca="1" xml:space="preserve">  Income!AI$12</f>
        <v>5584872.4981545191</v>
      </c>
      <c r="AJ20" s="4">
        <f ca="1" xml:space="preserve">  Income!AJ$12</f>
        <v>4915127.5018454809</v>
      </c>
      <c r="AK20" s="4">
        <f ca="1" xml:space="preserve">  Income!AK$12</f>
        <v>6239377.741109916</v>
      </c>
      <c r="AL20" s="4">
        <f ca="1" xml:space="preserve">  Income!AL$12</f>
        <v>4260622.258890084</v>
      </c>
      <c r="AM20" s="4">
        <f ca="1" xml:space="preserve">  Income!AM$12</f>
        <v>4200000</v>
      </c>
      <c r="AN20" s="4">
        <f ca="1" xml:space="preserve">  Income!AN$12</f>
        <v>4200000</v>
      </c>
      <c r="AO20" s="4">
        <f ca="1" xml:space="preserve">  Income!AO$12</f>
        <v>4200000</v>
      </c>
      <c r="AP20" s="4">
        <f ca="1" xml:space="preserve">  Income!AP$12</f>
        <v>6300000</v>
      </c>
      <c r="AQ20" s="4">
        <f ca="1" xml:space="preserve">  Income!AQ$12</f>
        <v>6300000</v>
      </c>
      <c r="AR20" s="4">
        <f ca="1" xml:space="preserve">  Income!AR$12</f>
        <v>8400000</v>
      </c>
      <c r="AS20" s="4">
        <f ca="1" xml:space="preserve">  Income!AS$12</f>
        <v>8400000</v>
      </c>
      <c r="AT20" s="4">
        <f ca="1" xml:space="preserve">  Income!AT$12</f>
        <v>12600000</v>
      </c>
      <c r="AU20" s="4">
        <f ca="1" xml:space="preserve">  Income!AU$12</f>
        <v>8400000</v>
      </c>
      <c r="AV20" s="4">
        <f ca="1" xml:space="preserve">  Income!AV$12</f>
        <v>12600000</v>
      </c>
      <c r="AW20" s="4">
        <f ca="1" xml:space="preserve">  Income!AW$12</f>
        <v>12600000</v>
      </c>
      <c r="AX20" s="4">
        <f ca="1" xml:space="preserve">  Income!AX$12</f>
        <v>12600000</v>
      </c>
      <c r="AY20" s="4">
        <f ca="1" xml:space="preserve">  Income!AY$12</f>
        <v>14700000</v>
      </c>
      <c r="AZ20" s="4">
        <f ca="1" xml:space="preserve">  Income!AZ$12</f>
        <v>14700000</v>
      </c>
      <c r="BA20" s="4">
        <f ca="1" xml:space="preserve">  Income!BA$12</f>
        <v>14700000</v>
      </c>
      <c r="BB20" s="4">
        <f ca="1" xml:space="preserve">  Income!BB$12</f>
        <v>16800000</v>
      </c>
      <c r="BC20" s="4">
        <f ca="1" xml:space="preserve">  Income!BC$12</f>
        <v>16800000</v>
      </c>
      <c r="BD20" s="4">
        <f ca="1" xml:space="preserve">  Income!BD$12</f>
        <v>18900000</v>
      </c>
      <c r="BE20" s="4">
        <f ca="1" xml:space="preserve">  Income!BE$12</f>
        <v>21000000</v>
      </c>
      <c r="BF20" s="4">
        <f ca="1" xml:space="preserve">  Income!BF$12</f>
        <v>23100000</v>
      </c>
      <c r="BG20" s="4">
        <f ca="1" xml:space="preserve">  Income!BG$12</f>
        <v>21000000</v>
      </c>
      <c r="BH20" s="4">
        <f ca="1" xml:space="preserve">  Income!BH$12</f>
        <v>25200000</v>
      </c>
      <c r="BI20" s="4">
        <f ca="1" xml:space="preserve">  Income!BI$12</f>
        <v>27300000</v>
      </c>
      <c r="BJ20" s="4">
        <f ca="1" xml:space="preserve">  Income!BJ$12</f>
        <v>27300000</v>
      </c>
      <c r="BK20" s="4">
        <f ca="1" xml:space="preserve">  Income!BK$12</f>
        <v>29400000</v>
      </c>
      <c r="BL20" s="4">
        <f ca="1" xml:space="preserve">  Income!BL$12</f>
        <v>31499999.999999996</v>
      </c>
      <c r="BM20" s="4">
        <f ca="1" xml:space="preserve">  Income!BM$12</f>
        <v>31500000.000000004</v>
      </c>
      <c r="BN20" s="4">
        <f ca="1" xml:space="preserve">  Income!BN$12</f>
        <v>33599999.999999993</v>
      </c>
      <c r="BO20" s="4">
        <f ca="1" xml:space="preserve">  Income!BO$12</f>
        <v>37800000</v>
      </c>
      <c r="BP20" s="4">
        <f ca="1" xml:space="preserve">  Income!BP$12</f>
        <v>37800000</v>
      </c>
      <c r="BQ20" s="4">
        <f ca="1" xml:space="preserve">  Income!BQ$12</f>
        <v>42000000</v>
      </c>
    </row>
    <row r="21" spans="1:69" outlineLevel="1">
      <c r="A21" s="18"/>
      <c r="B21" s="18"/>
      <c r="C21" s="28"/>
      <c r="D21" s="27"/>
      <c r="E21" s="4" t="str">
        <f xml:space="preserve">  VAT!E$17</f>
        <v>Output VAT</v>
      </c>
      <c r="F21" s="4">
        <f xml:space="preserve">  VAT!F$17</f>
        <v>0</v>
      </c>
      <c r="G21" s="4" t="str">
        <f xml:space="preserve">  VAT!G$17</f>
        <v>GBP</v>
      </c>
      <c r="H21" s="4">
        <f ca="1" xml:space="preserve">  VAT!H$17</f>
        <v>131040000</v>
      </c>
      <c r="I21" s="4">
        <f xml:space="preserve">  VAT!I$17</f>
        <v>0</v>
      </c>
      <c r="J21" s="4">
        <f ca="1" xml:space="preserve">  VAT!J$17</f>
        <v>0</v>
      </c>
      <c r="K21" s="4">
        <f ca="1" xml:space="preserve">  VAT!K$17</f>
        <v>0</v>
      </c>
      <c r="L21" s="4">
        <f ca="1" xml:space="preserve">  VAT!L$17</f>
        <v>168000</v>
      </c>
      <c r="M21" s="4">
        <f ca="1" xml:space="preserve">  VAT!M$17</f>
        <v>84000</v>
      </c>
      <c r="N21" s="4">
        <f ca="1" xml:space="preserve">  VAT!N$17</f>
        <v>84000</v>
      </c>
      <c r="O21" s="4">
        <f ca="1" xml:space="preserve">  VAT!O$17</f>
        <v>84000</v>
      </c>
      <c r="P21" s="4">
        <f ca="1" xml:space="preserve">  VAT!P$17</f>
        <v>420000</v>
      </c>
      <c r="Q21" s="4">
        <f ca="1" xml:space="preserve">  VAT!Q$17</f>
        <v>252000</v>
      </c>
      <c r="R21" s="4">
        <f ca="1" xml:space="preserve">  VAT!R$17</f>
        <v>168000</v>
      </c>
      <c r="S21" s="4">
        <f ca="1" xml:space="preserve">  VAT!S$17</f>
        <v>0</v>
      </c>
      <c r="T21" s="4">
        <f ca="1" xml:space="preserve">  VAT!T$17</f>
        <v>840000</v>
      </c>
      <c r="U21" s="4">
        <f ca="1" xml:space="preserve">  VAT!U$17</f>
        <v>0</v>
      </c>
      <c r="V21" s="4">
        <f ca="1" xml:space="preserve">  VAT!V$17</f>
        <v>840000</v>
      </c>
      <c r="W21" s="4">
        <f ca="1" xml:space="preserve">  VAT!W$17</f>
        <v>696974.49963090394</v>
      </c>
      <c r="X21" s="4">
        <f ca="1" xml:space="preserve">  VAT!X$17</f>
        <v>311025.50036909612</v>
      </c>
      <c r="Y21" s="4">
        <f ca="1" xml:space="preserve">  VAT!Y$17</f>
        <v>911875.54822198325</v>
      </c>
      <c r="Z21" s="4">
        <f ca="1" xml:space="preserve">  VAT!Z$17</f>
        <v>96124.451778016766</v>
      </c>
      <c r="AA21" s="4">
        <f ca="1" xml:space="preserve">  VAT!AA$17</f>
        <v>84000</v>
      </c>
      <c r="AB21" s="4">
        <f ca="1" xml:space="preserve">  VAT!AB$17</f>
        <v>420000</v>
      </c>
      <c r="AC21" s="4">
        <f ca="1" xml:space="preserve">  VAT!AC$17</f>
        <v>252000</v>
      </c>
      <c r="AD21" s="4">
        <f ca="1" xml:space="preserve">  VAT!AD$17</f>
        <v>168000</v>
      </c>
      <c r="AE21" s="4">
        <f ca="1" xml:space="preserve">  VAT!AE$17</f>
        <v>420000</v>
      </c>
      <c r="AF21" s="4">
        <f ca="1" xml:space="preserve">  VAT!AF$17</f>
        <v>1260000</v>
      </c>
      <c r="AG21" s="4">
        <f ca="1" xml:space="preserve">  VAT!AG$17</f>
        <v>420000</v>
      </c>
      <c r="AH21" s="4">
        <f ca="1" xml:space="preserve">  VAT!AH$17</f>
        <v>1680000</v>
      </c>
      <c r="AI21" s="4">
        <f ca="1" xml:space="preserve">  VAT!AI$17</f>
        <v>1116974.4996309038</v>
      </c>
      <c r="AJ21" s="4">
        <f ca="1" xml:space="preserve">  VAT!AJ$17</f>
        <v>983025.50036909617</v>
      </c>
      <c r="AK21" s="4">
        <f ca="1" xml:space="preserve">  VAT!AK$17</f>
        <v>1247875.5482219832</v>
      </c>
      <c r="AL21" s="4">
        <f ca="1" xml:space="preserve">  VAT!AL$17</f>
        <v>852124.45177801687</v>
      </c>
      <c r="AM21" s="4">
        <f ca="1" xml:space="preserve">  VAT!AM$17</f>
        <v>840000</v>
      </c>
      <c r="AN21" s="4">
        <f ca="1" xml:space="preserve">  VAT!AN$17</f>
        <v>840000</v>
      </c>
      <c r="AO21" s="4">
        <f ca="1" xml:space="preserve">  VAT!AO$17</f>
        <v>840000</v>
      </c>
      <c r="AP21" s="4">
        <f ca="1" xml:space="preserve">  VAT!AP$17</f>
        <v>1260000</v>
      </c>
      <c r="AQ21" s="4">
        <f ca="1" xml:space="preserve">  VAT!AQ$17</f>
        <v>1260000</v>
      </c>
      <c r="AR21" s="4">
        <f ca="1" xml:space="preserve">  VAT!AR$17</f>
        <v>1680000</v>
      </c>
      <c r="AS21" s="4">
        <f ca="1" xml:space="preserve">  VAT!AS$17</f>
        <v>1680000</v>
      </c>
      <c r="AT21" s="4">
        <f ca="1" xml:space="preserve">  VAT!AT$17</f>
        <v>2520000</v>
      </c>
      <c r="AU21" s="4">
        <f ca="1" xml:space="preserve">  VAT!AU$17</f>
        <v>1680000</v>
      </c>
      <c r="AV21" s="4">
        <f ca="1" xml:space="preserve">  VAT!AV$17</f>
        <v>2520000</v>
      </c>
      <c r="AW21" s="4">
        <f ca="1" xml:space="preserve">  VAT!AW$17</f>
        <v>2520000</v>
      </c>
      <c r="AX21" s="4">
        <f ca="1" xml:space="preserve">  VAT!AX$17</f>
        <v>2520000</v>
      </c>
      <c r="AY21" s="4">
        <f ca="1" xml:space="preserve">  VAT!AY$17</f>
        <v>2940000</v>
      </c>
      <c r="AZ21" s="4">
        <f ca="1" xml:space="preserve">  VAT!AZ$17</f>
        <v>2940000</v>
      </c>
      <c r="BA21" s="4">
        <f ca="1" xml:space="preserve">  VAT!BA$17</f>
        <v>2940000</v>
      </c>
      <c r="BB21" s="4">
        <f ca="1" xml:space="preserve">  VAT!BB$17</f>
        <v>3360000</v>
      </c>
      <c r="BC21" s="4">
        <f ca="1" xml:space="preserve">  VAT!BC$17</f>
        <v>3360000</v>
      </c>
      <c r="BD21" s="4">
        <f ca="1" xml:space="preserve">  VAT!BD$17</f>
        <v>3780000</v>
      </c>
      <c r="BE21" s="4">
        <f ca="1" xml:space="preserve">  VAT!BE$17</f>
        <v>4200000</v>
      </c>
      <c r="BF21" s="4">
        <f ca="1" xml:space="preserve">  VAT!BF$17</f>
        <v>4620000</v>
      </c>
      <c r="BG21" s="4">
        <f ca="1" xml:space="preserve">  VAT!BG$17</f>
        <v>4200000</v>
      </c>
      <c r="BH21" s="4">
        <f ca="1" xml:space="preserve">  VAT!BH$17</f>
        <v>5040000</v>
      </c>
      <c r="BI21" s="4">
        <f ca="1" xml:space="preserve">  VAT!BI$17</f>
        <v>5460000</v>
      </c>
      <c r="BJ21" s="4">
        <f ca="1" xml:space="preserve">  VAT!BJ$17</f>
        <v>5460000</v>
      </c>
      <c r="BK21" s="4">
        <f ca="1" xml:space="preserve">  VAT!BK$17</f>
        <v>5880000</v>
      </c>
      <c r="BL21" s="4">
        <f ca="1" xml:space="preserve">  VAT!BL$17</f>
        <v>6300000</v>
      </c>
      <c r="BM21" s="4">
        <f ca="1" xml:space="preserve">  VAT!BM$17</f>
        <v>6300000.0000000009</v>
      </c>
      <c r="BN21" s="4">
        <f ca="1" xml:space="preserve">  VAT!BN$17</f>
        <v>6719999.9999999991</v>
      </c>
      <c r="BO21" s="4">
        <f ca="1" xml:space="preserve">  VAT!BO$17</f>
        <v>7560000</v>
      </c>
      <c r="BP21" s="4">
        <f ca="1" xml:space="preserve">  VAT!BP$17</f>
        <v>7560000</v>
      </c>
      <c r="BQ21" s="4">
        <f ca="1" xml:space="preserve">  VAT!BQ$17</f>
        <v>8400000</v>
      </c>
    </row>
    <row r="22" spans="1:69" outlineLevel="1">
      <c r="A22" s="34"/>
      <c r="B22" s="34"/>
      <c r="C22" s="64"/>
      <c r="D22" s="65"/>
      <c r="E22" s="21" t="s">
        <v>61</v>
      </c>
      <c r="F22" s="21"/>
      <c r="G22" s="21" t="s">
        <v>257</v>
      </c>
      <c r="H22" s="3">
        <f ca="1" xml:space="preserve"> SUM( J22:BQ22 )</f>
        <v>690480000</v>
      </c>
      <c r="I22" s="21"/>
      <c r="J22" s="3">
        <f ca="1" xml:space="preserve">  IF( Time!J28 &lt; 1 + $F19, 0, OFFSET( J20, 0, - 1 * ( $F19 ) ) ) + IF( Time!J28 &lt; 1 + $F19, 0, OFFSET( J21, 0, - 1 * ( $F19 ) ) )</f>
        <v>0</v>
      </c>
      <c r="K22" s="3">
        <f ca="1" xml:space="preserve">  IF( Time!K28 &lt; 1 + $F19, 0, OFFSET( K20, 0, - 1 * ( $F19 ) ) ) + IF( Time!K28 &lt; 1 + $F19, 0, OFFSET( K21, 0, - 1 * ( $F19 ) ) )</f>
        <v>0</v>
      </c>
      <c r="L22" s="3">
        <f ca="1" xml:space="preserve">  IF( Time!L28 &lt; 1 + $F19, 0, OFFSET( L20, 0, - 1 * ( $F19 ) ) ) + IF( Time!L28 &lt; 1 + $F19, 0, OFFSET( L21, 0, - 1 * ( $F19 ) ) )</f>
        <v>0</v>
      </c>
      <c r="M22" s="3">
        <f ca="1" xml:space="preserve">  IF( Time!M28 &lt; 1 + $F19, 0, OFFSET( M20, 0, - 1 * ( $F19 ) ) ) + IF( Time!M28 &lt; 1 + $F19, 0, OFFSET( M21, 0, - 1 * ( $F19 ) ) )</f>
        <v>0</v>
      </c>
      <c r="N22" s="3">
        <f ca="1" xml:space="preserve">  IF( Time!N28 &lt; 1 + $F19, 0, OFFSET( N20, 0, - 1 * ( $F19 ) ) ) + IF( Time!N28 &lt; 1 + $F19, 0, OFFSET( N21, 0, - 1 * ( $F19 ) ) )</f>
        <v>1008000</v>
      </c>
      <c r="O22" s="3">
        <f ca="1" xml:space="preserve">  IF( Time!O28 &lt; 1 + $F19, 0, OFFSET( O20, 0, - 1 * ( $F19 ) ) ) + IF( Time!O28 &lt; 1 + $F19, 0, OFFSET( O21, 0, - 1 * ( $F19 ) ) )</f>
        <v>504000</v>
      </c>
      <c r="P22" s="3">
        <f ca="1" xml:space="preserve">  IF( Time!P28 &lt; 1 + $F19, 0, OFFSET( P20, 0, - 1 * ( $F19 ) ) ) + IF( Time!P28 &lt; 1 + $F19, 0, OFFSET( P21, 0, - 1 * ( $F19 ) ) )</f>
        <v>504000</v>
      </c>
      <c r="Q22" s="3">
        <f ca="1" xml:space="preserve">  IF( Time!Q28 &lt; 1 + $F19, 0, OFFSET( Q20, 0, - 1 * ( $F19 ) ) ) + IF( Time!Q28 &lt; 1 + $F19, 0, OFFSET( Q21, 0, - 1 * ( $F19 ) ) )</f>
        <v>504000</v>
      </c>
      <c r="R22" s="3">
        <f ca="1" xml:space="preserve">  IF( Time!R28 &lt; 1 + $F19, 0, OFFSET( R20, 0, - 1 * ( $F19 ) ) ) + IF( Time!R28 &lt; 1 + $F19, 0, OFFSET( R21, 0, - 1 * ( $F19 ) ) )</f>
        <v>2520000</v>
      </c>
      <c r="S22" s="3">
        <f ca="1" xml:space="preserve">  IF( Time!S28 &lt; 1 + $F19, 0, OFFSET( S20, 0, - 1 * ( $F19 ) ) ) + IF( Time!S28 &lt; 1 + $F19, 0, OFFSET( S21, 0, - 1 * ( $F19 ) ) )</f>
        <v>1512000</v>
      </c>
      <c r="T22" s="3">
        <f ca="1" xml:space="preserve">  IF( Time!T28 &lt; 1 + $F19, 0, OFFSET( T20, 0, - 1 * ( $F19 ) ) ) + IF( Time!T28 &lt; 1 + $F19, 0, OFFSET( T21, 0, - 1 * ( $F19 ) ) )</f>
        <v>1008000</v>
      </c>
      <c r="U22" s="3">
        <f ca="1" xml:space="preserve">  IF( Time!U28 &lt; 1 + $F19, 0, OFFSET( U20, 0, - 1 * ( $F19 ) ) ) + IF( Time!U28 &lt; 1 + $F19, 0, OFFSET( U21, 0, - 1 * ( $F19 ) ) )</f>
        <v>0</v>
      </c>
      <c r="V22" s="3">
        <f ca="1" xml:space="preserve">  IF( Time!V28 &lt; 1 + $F19, 0, OFFSET( V20, 0, - 1 * ( $F19 ) ) ) + IF( Time!V28 &lt; 1 + $F19, 0, OFFSET( V21, 0, - 1 * ( $F19 ) ) )</f>
        <v>5040000</v>
      </c>
      <c r="W22" s="3">
        <f ca="1" xml:space="preserve">  IF( Time!W28 &lt; 1 + $F19, 0, OFFSET( W20, 0, - 1 * ( $F19 ) ) ) + IF( Time!W28 &lt; 1 + $F19, 0, OFFSET( W21, 0, - 1 * ( $F19 ) ) )</f>
        <v>0</v>
      </c>
      <c r="X22" s="3">
        <f ca="1" xml:space="preserve">  IF( Time!X28 &lt; 1 + $F19, 0, OFFSET( X20, 0, - 1 * ( $F19 ) ) ) + IF( Time!X28 &lt; 1 + $F19, 0, OFFSET( X21, 0, - 1 * ( $F19 ) ) )</f>
        <v>5040000</v>
      </c>
      <c r="Y22" s="3">
        <f ca="1" xml:space="preserve">  IF( Time!Y28 &lt; 1 + $F19, 0, OFFSET( Y20, 0, - 1 * ( $F19 ) ) ) + IF( Time!Y28 &lt; 1 + $F19, 0, OFFSET( Y21, 0, - 1 * ( $F19 ) ) )</f>
        <v>4181846.9977854234</v>
      </c>
      <c r="Z22" s="3">
        <f ca="1" xml:space="preserve">  IF( Time!Z28 &lt; 1 + $F19, 0, OFFSET( Z20, 0, - 1 * ( $F19 ) ) ) + IF( Time!Z28 &lt; 1 + $F19, 0, OFFSET( Z21, 0, - 1 * ( $F19 ) ) )</f>
        <v>1866153.0022145766</v>
      </c>
      <c r="AA22" s="3">
        <f ca="1" xml:space="preserve">  IF( Time!AA28 &lt; 1 + $F19, 0, OFFSET( AA20, 0, - 1 * ( $F19 ) ) ) + IF( Time!AA28 &lt; 1 + $F19, 0, OFFSET( AA21, 0, - 1 * ( $F19 ) ) )</f>
        <v>5471253.289331899</v>
      </c>
      <c r="AB22" s="3">
        <f ca="1" xml:space="preserve">  IF( Time!AB28 &lt; 1 + $F19, 0, OFFSET( AB20, 0, - 1 * ( $F19 ) ) ) + IF( Time!AB28 &lt; 1 + $F19, 0, OFFSET( AB21, 0, - 1 * ( $F19 ) ) )</f>
        <v>576746.71066810063</v>
      </c>
      <c r="AC22" s="3">
        <f ca="1" xml:space="preserve">  IF( Time!AC28 &lt; 1 + $F19, 0, OFFSET( AC20, 0, - 1 * ( $F19 ) ) ) + IF( Time!AC28 &lt; 1 + $F19, 0, OFFSET( AC21, 0, - 1 * ( $F19 ) ) )</f>
        <v>504000</v>
      </c>
      <c r="AD22" s="3">
        <f ca="1" xml:space="preserve">  IF( Time!AD28 &lt; 1 + $F19, 0, OFFSET( AD20, 0, - 1 * ( $F19 ) ) ) + IF( Time!AD28 &lt; 1 + $F19, 0, OFFSET( AD21, 0, - 1 * ( $F19 ) ) )</f>
        <v>2520000</v>
      </c>
      <c r="AE22" s="3">
        <f ca="1" xml:space="preserve">  IF( Time!AE28 &lt; 1 + $F19, 0, OFFSET( AE20, 0, - 1 * ( $F19 ) ) ) + IF( Time!AE28 &lt; 1 + $F19, 0, OFFSET( AE21, 0, - 1 * ( $F19 ) ) )</f>
        <v>1512000</v>
      </c>
      <c r="AF22" s="3">
        <f ca="1" xml:space="preserve">  IF( Time!AF28 &lt; 1 + $F19, 0, OFFSET( AF20, 0, - 1 * ( $F19 ) ) ) + IF( Time!AF28 &lt; 1 + $F19, 0, OFFSET( AF21, 0, - 1 * ( $F19 ) ) )</f>
        <v>1008000</v>
      </c>
      <c r="AG22" s="3">
        <f ca="1" xml:space="preserve">  IF( Time!AG28 &lt; 1 + $F19, 0, OFFSET( AG20, 0, - 1 * ( $F19 ) ) ) + IF( Time!AG28 &lt; 1 + $F19, 0, OFFSET( AG21, 0, - 1 * ( $F19 ) ) )</f>
        <v>2520000</v>
      </c>
      <c r="AH22" s="3">
        <f ca="1" xml:space="preserve">  IF( Time!AH28 &lt; 1 + $F19, 0, OFFSET( AH20, 0, - 1 * ( $F19 ) ) ) + IF( Time!AH28 &lt; 1 + $F19, 0, OFFSET( AH21, 0, - 1 * ( $F19 ) ) )</f>
        <v>7560000</v>
      </c>
      <c r="AI22" s="3">
        <f ca="1" xml:space="preserve">  IF( Time!AI28 &lt; 1 + $F19, 0, OFFSET( AI20, 0, - 1 * ( $F19 ) ) ) + IF( Time!AI28 &lt; 1 + $F19, 0, OFFSET( AI21, 0, - 1 * ( $F19 ) ) )</f>
        <v>2520000</v>
      </c>
      <c r="AJ22" s="3">
        <f ca="1" xml:space="preserve">  IF( Time!AJ28 &lt; 1 + $F19, 0, OFFSET( AJ20, 0, - 1 * ( $F19 ) ) ) + IF( Time!AJ28 &lt; 1 + $F19, 0, OFFSET( AJ21, 0, - 1 * ( $F19 ) ) )</f>
        <v>10080000</v>
      </c>
      <c r="AK22" s="3">
        <f ca="1" xml:space="preserve">  IF( Time!AK28 &lt; 1 + $F19, 0, OFFSET( AK20, 0, - 1 * ( $F19 ) ) ) + IF( Time!AK28 &lt; 1 + $F19, 0, OFFSET( AK21, 0, - 1 * ( $F19 ) ) )</f>
        <v>6701846.997785423</v>
      </c>
      <c r="AL22" s="3">
        <f ca="1" xml:space="preserve">  IF( Time!AL28 &lt; 1 + $F19, 0, OFFSET( AL20, 0, - 1 * ( $F19 ) ) ) + IF( Time!AL28 &lt; 1 + $F19, 0, OFFSET( AL21, 0, - 1 * ( $F19 ) ) )</f>
        <v>5898153.002214577</v>
      </c>
      <c r="AM22" s="3">
        <f ca="1" xml:space="preserve">  IF( Time!AM28 &lt; 1 + $F19, 0, OFFSET( AM20, 0, - 1 * ( $F19 ) ) ) + IF( Time!AM28 &lt; 1 + $F19, 0, OFFSET( AM21, 0, - 1 * ( $F19 ) ) )</f>
        <v>7487253.289331899</v>
      </c>
      <c r="AN22" s="3">
        <f ca="1" xml:space="preserve">  IF( Time!AN28 &lt; 1 + $F19, 0, OFFSET( AN20, 0, - 1 * ( $F19 ) ) ) + IF( Time!AN28 &lt; 1 + $F19, 0, OFFSET( AN21, 0, - 1 * ( $F19 ) ) )</f>
        <v>5112746.710668101</v>
      </c>
      <c r="AO22" s="3">
        <f ca="1" xml:space="preserve">  IF( Time!AO28 &lt; 1 + $F19, 0, OFFSET( AO20, 0, - 1 * ( $F19 ) ) ) + IF( Time!AO28 &lt; 1 + $F19, 0, OFFSET( AO21, 0, - 1 * ( $F19 ) ) )</f>
        <v>5040000</v>
      </c>
      <c r="AP22" s="3">
        <f ca="1" xml:space="preserve">  IF( Time!AP28 &lt; 1 + $F19, 0, OFFSET( AP20, 0, - 1 * ( $F19 ) ) ) + IF( Time!AP28 &lt; 1 + $F19, 0, OFFSET( AP21, 0, - 1 * ( $F19 ) ) )</f>
        <v>5040000</v>
      </c>
      <c r="AQ22" s="3">
        <f ca="1" xml:space="preserve">  IF( Time!AQ28 &lt; 1 + $F19, 0, OFFSET( AQ20, 0, - 1 * ( $F19 ) ) ) + IF( Time!AQ28 &lt; 1 + $F19, 0, OFFSET( AQ21, 0, - 1 * ( $F19 ) ) )</f>
        <v>5040000</v>
      </c>
      <c r="AR22" s="3">
        <f ca="1" xml:space="preserve">  IF( Time!AR28 &lt; 1 + $F19, 0, OFFSET( AR20, 0, - 1 * ( $F19 ) ) ) + IF( Time!AR28 &lt; 1 + $F19, 0, OFFSET( AR21, 0, - 1 * ( $F19 ) ) )</f>
        <v>7560000</v>
      </c>
      <c r="AS22" s="3">
        <f ca="1" xml:space="preserve">  IF( Time!AS28 &lt; 1 + $F19, 0, OFFSET( AS20, 0, - 1 * ( $F19 ) ) ) + IF( Time!AS28 &lt; 1 + $F19, 0, OFFSET( AS21, 0, - 1 * ( $F19 ) ) )</f>
        <v>7560000</v>
      </c>
      <c r="AT22" s="3">
        <f ca="1" xml:space="preserve">  IF( Time!AT28 &lt; 1 + $F19, 0, OFFSET( AT20, 0, - 1 * ( $F19 ) ) ) + IF( Time!AT28 &lt; 1 + $F19, 0, OFFSET( AT21, 0, - 1 * ( $F19 ) ) )</f>
        <v>10080000</v>
      </c>
      <c r="AU22" s="3">
        <f ca="1" xml:space="preserve">  IF( Time!AU28 &lt; 1 + $F19, 0, OFFSET( AU20, 0, - 1 * ( $F19 ) ) ) + IF( Time!AU28 &lt; 1 + $F19, 0, OFFSET( AU21, 0, - 1 * ( $F19 ) ) )</f>
        <v>10080000</v>
      </c>
      <c r="AV22" s="3">
        <f ca="1" xml:space="preserve">  IF( Time!AV28 &lt; 1 + $F19, 0, OFFSET( AV20, 0, - 1 * ( $F19 ) ) ) + IF( Time!AV28 &lt; 1 + $F19, 0, OFFSET( AV21, 0, - 1 * ( $F19 ) ) )</f>
        <v>15120000</v>
      </c>
      <c r="AW22" s="3">
        <f ca="1" xml:space="preserve">  IF( Time!AW28 &lt; 1 + $F19, 0, OFFSET( AW20, 0, - 1 * ( $F19 ) ) ) + IF( Time!AW28 &lt; 1 + $F19, 0, OFFSET( AW21, 0, - 1 * ( $F19 ) ) )</f>
        <v>10080000</v>
      </c>
      <c r="AX22" s="3">
        <f ca="1" xml:space="preserve">  IF( Time!AX28 &lt; 1 + $F19, 0, OFFSET( AX20, 0, - 1 * ( $F19 ) ) ) + IF( Time!AX28 &lt; 1 + $F19, 0, OFFSET( AX21, 0, - 1 * ( $F19 ) ) )</f>
        <v>15120000</v>
      </c>
      <c r="AY22" s="3">
        <f ca="1" xml:space="preserve">  IF( Time!AY28 &lt; 1 + $F19, 0, OFFSET( AY20, 0, - 1 * ( $F19 ) ) ) + IF( Time!AY28 &lt; 1 + $F19, 0, OFFSET( AY21, 0, - 1 * ( $F19 ) ) )</f>
        <v>15120000</v>
      </c>
      <c r="AZ22" s="3">
        <f ca="1" xml:space="preserve">  IF( Time!AZ28 &lt; 1 + $F19, 0, OFFSET( AZ20, 0, - 1 * ( $F19 ) ) ) + IF( Time!AZ28 &lt; 1 + $F19, 0, OFFSET( AZ21, 0, - 1 * ( $F19 ) ) )</f>
        <v>15120000</v>
      </c>
      <c r="BA22" s="3">
        <f ca="1" xml:space="preserve">  IF( Time!BA28 &lt; 1 + $F19, 0, OFFSET( BA20, 0, - 1 * ( $F19 ) ) ) + IF( Time!BA28 &lt; 1 + $F19, 0, OFFSET( BA21, 0, - 1 * ( $F19 ) ) )</f>
        <v>17640000</v>
      </c>
      <c r="BB22" s="3">
        <f ca="1" xml:space="preserve">  IF( Time!BB28 &lt; 1 + $F19, 0, OFFSET( BB20, 0, - 1 * ( $F19 ) ) ) + IF( Time!BB28 &lt; 1 + $F19, 0, OFFSET( BB21, 0, - 1 * ( $F19 ) ) )</f>
        <v>17640000</v>
      </c>
      <c r="BC22" s="3">
        <f ca="1" xml:space="preserve">  IF( Time!BC28 &lt; 1 + $F19, 0, OFFSET( BC20, 0, - 1 * ( $F19 ) ) ) + IF( Time!BC28 &lt; 1 + $F19, 0, OFFSET( BC21, 0, - 1 * ( $F19 ) ) )</f>
        <v>17640000</v>
      </c>
      <c r="BD22" s="3">
        <f ca="1" xml:space="preserve">  IF( Time!BD28 &lt; 1 + $F19, 0, OFFSET( BD20, 0, - 1 * ( $F19 ) ) ) + IF( Time!BD28 &lt; 1 + $F19, 0, OFFSET( BD21, 0, - 1 * ( $F19 ) ) )</f>
        <v>20160000</v>
      </c>
      <c r="BE22" s="3">
        <f ca="1" xml:space="preserve">  IF( Time!BE28 &lt; 1 + $F19, 0, OFFSET( BE20, 0, - 1 * ( $F19 ) ) ) + IF( Time!BE28 &lt; 1 + $F19, 0, OFFSET( BE21, 0, - 1 * ( $F19 ) ) )</f>
        <v>20160000</v>
      </c>
      <c r="BF22" s="3">
        <f ca="1" xml:space="preserve">  IF( Time!BF28 &lt; 1 + $F19, 0, OFFSET( BF20, 0, - 1 * ( $F19 ) ) ) + IF( Time!BF28 &lt; 1 + $F19, 0, OFFSET( BF21, 0, - 1 * ( $F19 ) ) )</f>
        <v>22680000</v>
      </c>
      <c r="BG22" s="3">
        <f ca="1" xml:space="preserve">  IF( Time!BG28 &lt; 1 + $F19, 0, OFFSET( BG20, 0, - 1 * ( $F19 ) ) ) + IF( Time!BG28 &lt; 1 + $F19, 0, OFFSET( BG21, 0, - 1 * ( $F19 ) ) )</f>
        <v>25200000</v>
      </c>
      <c r="BH22" s="3">
        <f ca="1" xml:space="preserve">  IF( Time!BH28 &lt; 1 + $F19, 0, OFFSET( BH20, 0, - 1 * ( $F19 ) ) ) + IF( Time!BH28 &lt; 1 + $F19, 0, OFFSET( BH21, 0, - 1 * ( $F19 ) ) )</f>
        <v>27720000</v>
      </c>
      <c r="BI22" s="3">
        <f ca="1" xml:space="preserve">  IF( Time!BI28 &lt; 1 + $F19, 0, OFFSET( BI20, 0, - 1 * ( $F19 ) ) ) + IF( Time!BI28 &lt; 1 + $F19, 0, OFFSET( BI21, 0, - 1 * ( $F19 ) ) )</f>
        <v>25200000</v>
      </c>
      <c r="BJ22" s="3">
        <f ca="1" xml:space="preserve">  IF( Time!BJ28 &lt; 1 + $F19, 0, OFFSET( BJ20, 0, - 1 * ( $F19 ) ) ) + IF( Time!BJ28 &lt; 1 + $F19, 0, OFFSET( BJ21, 0, - 1 * ( $F19 ) ) )</f>
        <v>30240000</v>
      </c>
      <c r="BK22" s="3">
        <f ca="1" xml:space="preserve">  IF( Time!BK28 &lt; 1 + $F19, 0, OFFSET( BK20, 0, - 1 * ( $F19 ) ) ) + IF( Time!BK28 &lt; 1 + $F19, 0, OFFSET( BK21, 0, - 1 * ( $F19 ) ) )</f>
        <v>32760000</v>
      </c>
      <c r="BL22" s="3">
        <f ca="1" xml:space="preserve">  IF( Time!BL28 &lt; 1 + $F19, 0, OFFSET( BL20, 0, - 1 * ( $F19 ) ) ) + IF( Time!BL28 &lt; 1 + $F19, 0, OFFSET( BL21, 0, - 1 * ( $F19 ) ) )</f>
        <v>32760000</v>
      </c>
      <c r="BM22" s="3">
        <f ca="1" xml:space="preserve">  IF( Time!BM28 &lt; 1 + $F19, 0, OFFSET( BM20, 0, - 1 * ( $F19 ) ) ) + IF( Time!BM28 &lt; 1 + $F19, 0, OFFSET( BM21, 0, - 1 * ( $F19 ) ) )</f>
        <v>35280000</v>
      </c>
      <c r="BN22" s="3">
        <f ca="1" xml:space="preserve">  IF( Time!BN28 &lt; 1 + $F19, 0, OFFSET( BN20, 0, - 1 * ( $F19 ) ) ) + IF( Time!BN28 &lt; 1 + $F19, 0, OFFSET( BN21, 0, - 1 * ( $F19 ) ) )</f>
        <v>37800000</v>
      </c>
      <c r="BO22" s="3">
        <f ca="1" xml:space="preserve">  IF( Time!BO28 &lt; 1 + $F19, 0, OFFSET( BO20, 0, - 1 * ( $F19 ) ) ) + IF( Time!BO28 &lt; 1 + $F19, 0, OFFSET( BO21, 0, - 1 * ( $F19 ) ) )</f>
        <v>37800000.000000007</v>
      </c>
      <c r="BP22" s="3">
        <f ca="1" xml:space="preserve">  IF( Time!BP28 &lt; 1 + $F19, 0, OFFSET( BP20, 0, - 1 * ( $F19 ) ) ) + IF( Time!BP28 &lt; 1 + $F19, 0, OFFSET( BP21, 0, - 1 * ( $F19 ) ) )</f>
        <v>40319999.999999993</v>
      </c>
      <c r="BQ22" s="3">
        <f ca="1" xml:space="preserve">  IF( Time!BQ28 &lt; 1 + $F19, 0, OFFSET( BQ20, 0, - 1 * ( $F19 ) ) ) + IF( Time!BQ28 &lt; 1 + $F19, 0, OFFSET( BQ21, 0, - 1 * ( $F19 ) ) )</f>
        <v>45360000</v>
      </c>
    </row>
    <row r="25" spans="1:69">
      <c r="B25" s="25" t="s">
        <v>301</v>
      </c>
    </row>
    <row r="26" spans="1:69" s="80" customFormat="1">
      <c r="A26" s="60"/>
      <c r="B26" s="60"/>
      <c r="C26" s="82"/>
      <c r="D26" s="85"/>
      <c r="E26" s="40" t="str">
        <f xml:space="preserve">  InpC!E$53</f>
        <v>Opening Creditors</v>
      </c>
      <c r="F26" s="40">
        <f xml:space="preserve">  InpC!F$53</f>
        <v>0</v>
      </c>
      <c r="G26" s="40" t="str">
        <f xml:space="preserve">  InpC!G$53</f>
        <v>GBP</v>
      </c>
      <c r="M26" s="87"/>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204</v>
      </c>
      <c r="G28" s="47" t="s">
        <v>257</v>
      </c>
      <c r="J28" s="2">
        <f t="shared" ref="J28:BQ28" si="2" xml:space="preserve">  I36</f>
        <v>0</v>
      </c>
      <c r="K28" s="2">
        <f t="shared" ca="1" si="2"/>
        <v>0</v>
      </c>
      <c r="L28" s="2">
        <f t="shared" ca="1" si="2"/>
        <v>0</v>
      </c>
      <c r="M28" s="2">
        <f t="shared" ca="1" si="2"/>
        <v>315000</v>
      </c>
      <c r="N28" s="2">
        <f t="shared" ca="1" si="2"/>
        <v>630000</v>
      </c>
      <c r="O28" s="2">
        <f t="shared" ca="1" si="2"/>
        <v>944999.99999999988</v>
      </c>
      <c r="P28" s="2">
        <f t="shared" ca="1" si="2"/>
        <v>944999.99999999988</v>
      </c>
      <c r="Q28" s="2">
        <f t="shared" ca="1" si="2"/>
        <v>1260000</v>
      </c>
      <c r="R28" s="2">
        <f t="shared" ca="1" si="2"/>
        <v>1260000</v>
      </c>
      <c r="S28" s="2">
        <f t="shared" ca="1" si="2"/>
        <v>1281000</v>
      </c>
      <c r="T28" s="2">
        <f t="shared" ca="1" si="2"/>
        <v>986999.99999999977</v>
      </c>
      <c r="U28" s="2">
        <f t="shared" ca="1" si="2"/>
        <v>692999.99999999977</v>
      </c>
      <c r="V28" s="2">
        <f t="shared" ca="1" si="2"/>
        <v>692999.99999999977</v>
      </c>
      <c r="W28" s="2">
        <f t="shared" ca="1" si="2"/>
        <v>398999.99999999994</v>
      </c>
      <c r="X28" s="2">
        <f t="shared" ca="1" si="2"/>
        <v>399000</v>
      </c>
      <c r="Y28" s="2">
        <f t="shared" ca="1" si="2"/>
        <v>262500</v>
      </c>
      <c r="Z28" s="2">
        <f t="shared" ca="1" si="2"/>
        <v>420000</v>
      </c>
      <c r="AA28" s="2">
        <f t="shared" ca="1" si="2"/>
        <v>577500</v>
      </c>
      <c r="AB28" s="2">
        <f t="shared" ca="1" si="2"/>
        <v>892500</v>
      </c>
      <c r="AC28" s="2">
        <f t="shared" ca="1" si="2"/>
        <v>1050000.0000000002</v>
      </c>
      <c r="AD28" s="2">
        <f t="shared" ca="1" si="2"/>
        <v>1365000</v>
      </c>
      <c r="AE28" s="2">
        <f t="shared" ca="1" si="2"/>
        <v>1375500</v>
      </c>
      <c r="AF28" s="2">
        <f t="shared" ca="1" si="2"/>
        <v>1543500</v>
      </c>
      <c r="AG28" s="2">
        <f t="shared" ca="1" si="2"/>
        <v>1711499.9999999995</v>
      </c>
      <c r="AH28" s="2">
        <f t="shared" ca="1" si="2"/>
        <v>1732499.9999999998</v>
      </c>
      <c r="AI28" s="2">
        <f t="shared" ca="1" si="2"/>
        <v>1900500</v>
      </c>
      <c r="AJ28" s="2">
        <f t="shared" ca="1" si="2"/>
        <v>2078999.9999999998</v>
      </c>
      <c r="AK28" s="2">
        <f t="shared" ca="1" si="2"/>
        <v>2247000</v>
      </c>
      <c r="AL28" s="2">
        <f t="shared" ca="1" si="2"/>
        <v>2425500</v>
      </c>
      <c r="AM28" s="2">
        <f t="shared" ca="1" si="2"/>
        <v>2604000</v>
      </c>
      <c r="AN28" s="2">
        <f t="shared" ca="1" si="2"/>
        <v>2940000</v>
      </c>
      <c r="AO28" s="2">
        <f t="shared" ca="1" si="2"/>
        <v>3118499.9999999995</v>
      </c>
      <c r="AP28" s="2">
        <f t="shared" ca="1" si="2"/>
        <v>3307499.9999999995</v>
      </c>
      <c r="AQ28" s="2">
        <f t="shared" ca="1" si="2"/>
        <v>3800999.9999999995</v>
      </c>
      <c r="AR28" s="2">
        <f t="shared" ca="1" si="2"/>
        <v>3990000.0000000009</v>
      </c>
      <c r="AS28" s="2">
        <f t="shared" ca="1" si="2"/>
        <v>4336500</v>
      </c>
      <c r="AT28" s="2">
        <f t="shared" ca="1" si="2"/>
        <v>4536000</v>
      </c>
      <c r="AU28" s="2">
        <f t="shared" ca="1" si="2"/>
        <v>4882500</v>
      </c>
      <c r="AV28" s="2">
        <f t="shared" ca="1" si="2"/>
        <v>5081999.9999999991</v>
      </c>
      <c r="AW28" s="2">
        <f t="shared" ca="1" si="2"/>
        <v>5292000</v>
      </c>
      <c r="AX28" s="2">
        <f t="shared" ca="1" si="2"/>
        <v>5649000</v>
      </c>
      <c r="AY28" s="2">
        <f t="shared" ca="1" si="2"/>
        <v>6016499.9999999991</v>
      </c>
      <c r="AZ28" s="2">
        <f t="shared" ca="1" si="2"/>
        <v>6383999.9999999981</v>
      </c>
      <c r="BA28" s="2">
        <f t="shared" ca="1" si="2"/>
        <v>6751499.9999999981</v>
      </c>
      <c r="BB28" s="2">
        <f t="shared" ca="1" si="2"/>
        <v>7276499.9999999981</v>
      </c>
      <c r="BC28" s="2">
        <f t="shared" ca="1" si="2"/>
        <v>7654499.9999999991</v>
      </c>
      <c r="BD28" s="2">
        <f t="shared" ca="1" si="2"/>
        <v>8190000</v>
      </c>
      <c r="BE28" s="2">
        <f t="shared" ca="1" si="2"/>
        <v>8578500</v>
      </c>
      <c r="BF28" s="2">
        <f t="shared" ca="1" si="2"/>
        <v>9124500</v>
      </c>
      <c r="BG28" s="2">
        <f t="shared" ca="1" si="2"/>
        <v>9670500</v>
      </c>
      <c r="BH28" s="2">
        <f t="shared" ca="1" si="2"/>
        <v>10227000</v>
      </c>
      <c r="BI28" s="2">
        <f t="shared" ca="1" si="2"/>
        <v>10941000</v>
      </c>
      <c r="BJ28" s="2">
        <f t="shared" ca="1" si="2"/>
        <v>11508000</v>
      </c>
      <c r="BK28" s="2">
        <f t="shared" ca="1" si="2"/>
        <v>12232500</v>
      </c>
      <c r="BL28" s="2">
        <f t="shared" ca="1" si="2"/>
        <v>12967500</v>
      </c>
      <c r="BM28" s="2">
        <f t="shared" ca="1" si="2"/>
        <v>13860000</v>
      </c>
      <c r="BN28" s="2">
        <f t="shared" ca="1" si="2"/>
        <v>14605500.000000002</v>
      </c>
      <c r="BO28" s="2">
        <f t="shared" ca="1" si="2"/>
        <v>15519000.000000002</v>
      </c>
      <c r="BP28" s="2">
        <f t="shared" ca="1" si="2"/>
        <v>16432499.999999996</v>
      </c>
      <c r="BQ28" s="2">
        <f t="shared" ca="1" si="2"/>
        <v>17514000</v>
      </c>
    </row>
    <row r="29" spans="1:69">
      <c r="A29" s="18"/>
      <c r="B29" s="18"/>
      <c r="C29" s="28"/>
      <c r="D29" s="27" t="s">
        <v>220</v>
      </c>
      <c r="E29" s="4" t="str">
        <f xml:space="preserve">  Financials!E$18</f>
        <v>Supplier Invoices</v>
      </c>
      <c r="F29" s="4">
        <f xml:space="preserve">  Financials!F$18</f>
        <v>0</v>
      </c>
      <c r="G29" s="4" t="str">
        <f xml:space="preserve">  Financials!G$18</f>
        <v>GBP</v>
      </c>
      <c r="H29" s="4">
        <f ca="1" xml:space="preserve">  Financials!H$18</f>
        <v>57750000</v>
      </c>
      <c r="I29" s="4">
        <f xml:space="preserve">  Financials!I$18</f>
        <v>0</v>
      </c>
      <c r="J29" s="4">
        <f xml:space="preserve">  Financials!J$18</f>
        <v>0</v>
      </c>
      <c r="K29" s="4">
        <f xml:space="preserve">  Financials!K$18</f>
        <v>0</v>
      </c>
      <c r="L29" s="4">
        <f xml:space="preserve">  Financials!L$18</f>
        <v>350000</v>
      </c>
      <c r="M29" s="4">
        <f xml:space="preserve">  Financials!M$18</f>
        <v>350000</v>
      </c>
      <c r="N29" s="4">
        <f xml:space="preserve">  Financials!N$18</f>
        <v>350000</v>
      </c>
      <c r="O29" s="4">
        <f xml:space="preserve">  Financials!O$18</f>
        <v>0</v>
      </c>
      <c r="P29" s="4">
        <f xml:space="preserve">  Financials!P$18</f>
        <v>350000</v>
      </c>
      <c r="Q29" s="4">
        <f xml:space="preserve">  Financials!Q$18</f>
        <v>0</v>
      </c>
      <c r="R29" s="4">
        <f xml:space="preserve">  Financials!R$18</f>
        <v>350000</v>
      </c>
      <c r="S29" s="4">
        <f xml:space="preserve">  Financials!S$18</f>
        <v>0</v>
      </c>
      <c r="T29" s="4">
        <f xml:space="preserve">  Financials!T$18</f>
        <v>0</v>
      </c>
      <c r="U29" s="4">
        <f xml:space="preserve">  Financials!U$18</f>
        <v>0</v>
      </c>
      <c r="V29" s="4">
        <f ca="1" xml:space="preserve">  Financials!V$18</f>
        <v>0</v>
      </c>
      <c r="W29" s="4">
        <f ca="1" xml:space="preserve">  Financials!W$18</f>
        <v>0</v>
      </c>
      <c r="X29" s="4">
        <f ca="1" xml:space="preserve">  Financials!X$18</f>
        <v>175000</v>
      </c>
      <c r="Y29" s="4">
        <f ca="1" xml:space="preserve">  Financials!Y$18</f>
        <v>175000</v>
      </c>
      <c r="Z29" s="4">
        <f ca="1" xml:space="preserve">  Financials!Z$18</f>
        <v>175000</v>
      </c>
      <c r="AA29" s="4">
        <f ca="1" xml:space="preserve">  Financials!AA$18</f>
        <v>350000</v>
      </c>
      <c r="AB29" s="4">
        <f ca="1" xml:space="preserve">  Financials!AB$18</f>
        <v>175000</v>
      </c>
      <c r="AC29" s="4">
        <f ca="1" xml:space="preserve">  Financials!AC$18</f>
        <v>350000</v>
      </c>
      <c r="AD29" s="4">
        <f ca="1" xml:space="preserve">  Financials!AD$18</f>
        <v>175000</v>
      </c>
      <c r="AE29" s="4">
        <f ca="1" xml:space="preserve">  Financials!AE$18</f>
        <v>350000</v>
      </c>
      <c r="AF29" s="4">
        <f ca="1" xml:space="preserve">  Financials!AF$18</f>
        <v>350000</v>
      </c>
      <c r="AG29" s="4">
        <f ca="1" xml:space="preserve">  Financials!AG$18</f>
        <v>350000</v>
      </c>
      <c r="AH29" s="4">
        <f ca="1" xml:space="preserve">  Financials!AH$18</f>
        <v>350000</v>
      </c>
      <c r="AI29" s="4">
        <f ca="1" xml:space="preserve">  Financials!AI$18</f>
        <v>525000</v>
      </c>
      <c r="AJ29" s="4">
        <f ca="1" xml:space="preserve">  Financials!AJ$18</f>
        <v>350000</v>
      </c>
      <c r="AK29" s="4">
        <f ca="1" xml:space="preserve">  Financials!AK$18</f>
        <v>525000</v>
      </c>
      <c r="AL29" s="4">
        <f ca="1" xml:space="preserve">  Financials!AL$18</f>
        <v>525000</v>
      </c>
      <c r="AM29" s="4">
        <f ca="1" xml:space="preserve">  Financials!AM$18</f>
        <v>700000</v>
      </c>
      <c r="AN29" s="4">
        <f ca="1" xml:space="preserve">  Financials!AN$18</f>
        <v>525000</v>
      </c>
      <c r="AO29" s="4">
        <f ca="1" xml:space="preserve">  Financials!AO$18</f>
        <v>700000</v>
      </c>
      <c r="AP29" s="4">
        <f ca="1" xml:space="preserve">  Financials!AP$18</f>
        <v>875000</v>
      </c>
      <c r="AQ29" s="4">
        <f ca="1" xml:space="preserve">  Financials!AQ$18</f>
        <v>700000</v>
      </c>
      <c r="AR29" s="4">
        <f ca="1" xml:space="preserve">  Financials!AR$18</f>
        <v>875000</v>
      </c>
      <c r="AS29" s="4">
        <f ca="1" xml:space="preserve">  Financials!AS$18</f>
        <v>875000</v>
      </c>
      <c r="AT29" s="4">
        <f ca="1" xml:space="preserve">  Financials!AT$18</f>
        <v>875000</v>
      </c>
      <c r="AU29" s="4">
        <f ca="1" xml:space="preserve">  Financials!AU$18</f>
        <v>875000</v>
      </c>
      <c r="AV29" s="4">
        <f ca="1" xml:space="preserve">  Financials!AV$18</f>
        <v>1050000</v>
      </c>
      <c r="AW29" s="4">
        <f ca="1" xml:space="preserve">  Financials!AW$18</f>
        <v>1050000</v>
      </c>
      <c r="AX29" s="4">
        <f ca="1" xml:space="preserve">  Financials!AX$18</f>
        <v>1225000</v>
      </c>
      <c r="AY29" s="4">
        <f ca="1" xml:space="preserve">  Financials!AY$18</f>
        <v>1225000</v>
      </c>
      <c r="AZ29" s="4">
        <f ca="1" xml:space="preserve">  Financials!AZ$18</f>
        <v>1225000</v>
      </c>
      <c r="BA29" s="4">
        <f ca="1" xml:space="preserve">  Financials!BA$18</f>
        <v>1400000</v>
      </c>
      <c r="BB29" s="4">
        <f ca="1" xml:space="preserve">  Financials!BB$18</f>
        <v>1400000</v>
      </c>
      <c r="BC29" s="4">
        <f ca="1" xml:space="preserve">  Financials!BC$18</f>
        <v>1575000</v>
      </c>
      <c r="BD29" s="4">
        <f ca="1" xml:space="preserve">  Financials!BD$18</f>
        <v>1575000</v>
      </c>
      <c r="BE29" s="4">
        <f ca="1" xml:space="preserve">  Financials!BE$18</f>
        <v>1750000</v>
      </c>
      <c r="BF29" s="4">
        <f ca="1" xml:space="preserve">  Financials!BF$18</f>
        <v>1750000</v>
      </c>
      <c r="BG29" s="4">
        <f ca="1" xml:space="preserve">  Financials!BG$18</f>
        <v>1925000</v>
      </c>
      <c r="BH29" s="4">
        <f ca="1" xml:space="preserve">  Financials!BH$18</f>
        <v>2100000</v>
      </c>
      <c r="BI29" s="4">
        <f ca="1" xml:space="preserve">  Financials!BI$18</f>
        <v>2100000</v>
      </c>
      <c r="BJ29" s="4">
        <f ca="1" xml:space="preserve">  Financials!BJ$18</f>
        <v>2275000</v>
      </c>
      <c r="BK29" s="4">
        <f ca="1" xml:space="preserve">  Financials!BK$18</f>
        <v>2450000</v>
      </c>
      <c r="BL29" s="4">
        <f ca="1" xml:space="preserve">  Financials!BL$18</f>
        <v>2625000</v>
      </c>
      <c r="BM29" s="4">
        <f ca="1" xml:space="preserve">  Financials!BM$18</f>
        <v>2625000</v>
      </c>
      <c r="BN29" s="4">
        <f ca="1" xml:space="preserve">  Financials!BN$18</f>
        <v>2975000</v>
      </c>
      <c r="BO29" s="4">
        <f ca="1" xml:space="preserve">  Financials!BO$18</f>
        <v>2975000</v>
      </c>
      <c r="BP29" s="4">
        <f ca="1" xml:space="preserve">  Financials!BP$18</f>
        <v>3325000</v>
      </c>
      <c r="BQ29" s="4">
        <f ca="1" xml:space="preserve">  Financials!BQ$18</f>
        <v>3500000</v>
      </c>
    </row>
    <row r="30" spans="1:69">
      <c r="A30" s="18"/>
      <c r="B30" s="18"/>
      <c r="C30" s="28"/>
      <c r="D30" s="27" t="s">
        <v>220</v>
      </c>
      <c r="E30" s="4" t="str">
        <f xml:space="preserve">  Inventory!E$11</f>
        <v>VAT on inventory</v>
      </c>
      <c r="F30" s="4">
        <f xml:space="preserve">  Inventory!F$11</f>
        <v>0</v>
      </c>
      <c r="G30" s="4" t="str">
        <f xml:space="preserve">  Inventory!G$11</f>
        <v>GBP</v>
      </c>
      <c r="H30" s="4">
        <f ca="1" xml:space="preserve">  Inventory!H$11</f>
        <v>11550000</v>
      </c>
      <c r="I30" s="4">
        <f xml:space="preserve">  Inventory!I$11</f>
        <v>0</v>
      </c>
      <c r="J30" s="4">
        <f xml:space="preserve">  Inventory!J$11</f>
        <v>0</v>
      </c>
      <c r="K30" s="4">
        <f xml:space="preserve">  Inventory!K$11</f>
        <v>0</v>
      </c>
      <c r="L30" s="4">
        <f xml:space="preserve">  Inventory!L$11</f>
        <v>70000</v>
      </c>
      <c r="M30" s="4">
        <f xml:space="preserve">  Inventory!M$11</f>
        <v>70000</v>
      </c>
      <c r="N30" s="4">
        <f xml:space="preserve">  Inventory!N$11</f>
        <v>70000</v>
      </c>
      <c r="O30" s="4">
        <f xml:space="preserve">  Inventory!O$11</f>
        <v>0</v>
      </c>
      <c r="P30" s="4">
        <f xml:space="preserve">  Inventory!P$11</f>
        <v>70000</v>
      </c>
      <c r="Q30" s="4">
        <f xml:space="preserve">  Inventory!Q$11</f>
        <v>0</v>
      </c>
      <c r="R30" s="4">
        <f xml:space="preserve">  Inventory!R$11</f>
        <v>70000</v>
      </c>
      <c r="S30" s="4">
        <f xml:space="preserve">  Inventory!S$11</f>
        <v>0</v>
      </c>
      <c r="T30" s="4">
        <f xml:space="preserve">  Inventory!T$11</f>
        <v>0</v>
      </c>
      <c r="U30" s="4">
        <f xml:space="preserve">  Inventory!U$11</f>
        <v>0</v>
      </c>
      <c r="V30" s="4">
        <f ca="1" xml:space="preserve">  Inventory!V$11</f>
        <v>0</v>
      </c>
      <c r="W30" s="4">
        <f ca="1" xml:space="preserve">  Inventory!W$11</f>
        <v>0</v>
      </c>
      <c r="X30" s="4">
        <f ca="1" xml:space="preserve">  Inventory!X$11</f>
        <v>35000</v>
      </c>
      <c r="Y30" s="4">
        <f ca="1" xml:space="preserve">  Inventory!Y$11</f>
        <v>35000</v>
      </c>
      <c r="Z30" s="4">
        <f ca="1" xml:space="preserve">  Inventory!Z$11</f>
        <v>35000</v>
      </c>
      <c r="AA30" s="4">
        <f ca="1" xml:space="preserve">  Inventory!AA$11</f>
        <v>70000</v>
      </c>
      <c r="AB30" s="4">
        <f ca="1" xml:space="preserve">  Inventory!AB$11</f>
        <v>35000</v>
      </c>
      <c r="AC30" s="4">
        <f ca="1" xml:space="preserve">  Inventory!AC$11</f>
        <v>70000</v>
      </c>
      <c r="AD30" s="4">
        <f ca="1" xml:space="preserve">  Inventory!AD$11</f>
        <v>35000</v>
      </c>
      <c r="AE30" s="4">
        <f ca="1" xml:space="preserve">  Inventory!AE$11</f>
        <v>70000</v>
      </c>
      <c r="AF30" s="4">
        <f ca="1" xml:space="preserve">  Inventory!AF$11</f>
        <v>70000</v>
      </c>
      <c r="AG30" s="4">
        <f ca="1" xml:space="preserve">  Inventory!AG$11</f>
        <v>70000</v>
      </c>
      <c r="AH30" s="4">
        <f ca="1" xml:space="preserve">  Inventory!AH$11</f>
        <v>70000</v>
      </c>
      <c r="AI30" s="4">
        <f ca="1" xml:space="preserve">  Inventory!AI$11</f>
        <v>105000</v>
      </c>
      <c r="AJ30" s="4">
        <f ca="1" xml:space="preserve">  Inventory!AJ$11</f>
        <v>70000</v>
      </c>
      <c r="AK30" s="4">
        <f ca="1" xml:space="preserve">  Inventory!AK$11</f>
        <v>105000</v>
      </c>
      <c r="AL30" s="4">
        <f ca="1" xml:space="preserve">  Inventory!AL$11</f>
        <v>105000</v>
      </c>
      <c r="AM30" s="4">
        <f ca="1" xml:space="preserve">  Inventory!AM$11</f>
        <v>140000</v>
      </c>
      <c r="AN30" s="4">
        <f ca="1" xml:space="preserve">  Inventory!AN$11</f>
        <v>105000</v>
      </c>
      <c r="AO30" s="4">
        <f ca="1" xml:space="preserve">  Inventory!AO$11</f>
        <v>140000</v>
      </c>
      <c r="AP30" s="4">
        <f ca="1" xml:space="preserve">  Inventory!AP$11</f>
        <v>175000</v>
      </c>
      <c r="AQ30" s="4">
        <f ca="1" xml:space="preserve">  Inventory!AQ$11</f>
        <v>140000</v>
      </c>
      <c r="AR30" s="4">
        <f ca="1" xml:space="preserve">  Inventory!AR$11</f>
        <v>175000</v>
      </c>
      <c r="AS30" s="4">
        <f ca="1" xml:space="preserve">  Inventory!AS$11</f>
        <v>175000</v>
      </c>
      <c r="AT30" s="4">
        <f ca="1" xml:space="preserve">  Inventory!AT$11</f>
        <v>175000</v>
      </c>
      <c r="AU30" s="4">
        <f ca="1" xml:space="preserve">  Inventory!AU$11</f>
        <v>175000</v>
      </c>
      <c r="AV30" s="4">
        <f ca="1" xml:space="preserve">  Inventory!AV$11</f>
        <v>210000</v>
      </c>
      <c r="AW30" s="4">
        <f ca="1" xml:space="preserve">  Inventory!AW$11</f>
        <v>210000</v>
      </c>
      <c r="AX30" s="4">
        <f ca="1" xml:space="preserve">  Inventory!AX$11</f>
        <v>245000</v>
      </c>
      <c r="AY30" s="4">
        <f ca="1" xml:space="preserve">  Inventory!AY$11</f>
        <v>245000</v>
      </c>
      <c r="AZ30" s="4">
        <f ca="1" xml:space="preserve">  Inventory!AZ$11</f>
        <v>245000</v>
      </c>
      <c r="BA30" s="4">
        <f ca="1" xml:space="preserve">  Inventory!BA$11</f>
        <v>280000</v>
      </c>
      <c r="BB30" s="4">
        <f ca="1" xml:space="preserve">  Inventory!BB$11</f>
        <v>280000</v>
      </c>
      <c r="BC30" s="4">
        <f ca="1" xml:space="preserve">  Inventory!BC$11</f>
        <v>315000</v>
      </c>
      <c r="BD30" s="4">
        <f ca="1" xml:space="preserve">  Inventory!BD$11</f>
        <v>315000</v>
      </c>
      <c r="BE30" s="4">
        <f ca="1" xml:space="preserve">  Inventory!BE$11</f>
        <v>350000</v>
      </c>
      <c r="BF30" s="4">
        <f ca="1" xml:space="preserve">  Inventory!BF$11</f>
        <v>350000</v>
      </c>
      <c r="BG30" s="4">
        <f ca="1" xml:space="preserve">  Inventory!BG$11</f>
        <v>385000</v>
      </c>
      <c r="BH30" s="4">
        <f ca="1" xml:space="preserve">  Inventory!BH$11</f>
        <v>420000</v>
      </c>
      <c r="BI30" s="4">
        <f ca="1" xml:space="preserve">  Inventory!BI$11</f>
        <v>420000</v>
      </c>
      <c r="BJ30" s="4">
        <f ca="1" xml:space="preserve">  Inventory!BJ$11</f>
        <v>455000</v>
      </c>
      <c r="BK30" s="4">
        <f ca="1" xml:space="preserve">  Inventory!BK$11</f>
        <v>490000</v>
      </c>
      <c r="BL30" s="4">
        <f ca="1" xml:space="preserve">  Inventory!BL$11</f>
        <v>525000</v>
      </c>
      <c r="BM30" s="4">
        <f ca="1" xml:space="preserve">  Inventory!BM$11</f>
        <v>525000</v>
      </c>
      <c r="BN30" s="4">
        <f ca="1" xml:space="preserve">  Inventory!BN$11</f>
        <v>595000</v>
      </c>
      <c r="BO30" s="4">
        <f ca="1" xml:space="preserve">  Inventory!BO$11</f>
        <v>595000</v>
      </c>
      <c r="BP30" s="4">
        <f ca="1" xml:space="preserve">  Inventory!BP$11</f>
        <v>665000</v>
      </c>
      <c r="BQ30" s="4">
        <f ca="1" xml:space="preserve">  Inventory!BQ$11</f>
        <v>700000</v>
      </c>
    </row>
    <row r="31" spans="1:69">
      <c r="D31" s="94" t="s">
        <v>220</v>
      </c>
      <c r="E31" s="2" t="str">
        <f t="shared" ref="E31:BQ31" si="3" xml:space="preserve">  E$51</f>
        <v>Cash out on Operating Expense POS</v>
      </c>
      <c r="F31" s="2">
        <f t="shared" si="3"/>
        <v>0</v>
      </c>
      <c r="G31" s="2" t="str">
        <f t="shared" si="3"/>
        <v>GBP</v>
      </c>
      <c r="H31" s="2">
        <f t="shared" ca="1" si="3"/>
        <v>78274069.097712979</v>
      </c>
      <c r="I31" s="2">
        <f t="shared" si="3"/>
        <v>0</v>
      </c>
      <c r="J31" s="2">
        <f t="shared" ca="1" si="3"/>
        <v>73700</v>
      </c>
      <c r="K31" s="2">
        <f t="shared" ca="1" si="3"/>
        <v>73700</v>
      </c>
      <c r="L31" s="2">
        <f t="shared" ca="1" si="3"/>
        <v>73700</v>
      </c>
      <c r="M31" s="2">
        <f t="shared" ca="1" si="3"/>
        <v>74368.642536480067</v>
      </c>
      <c r="N31" s="2">
        <f t="shared" ca="1" si="3"/>
        <v>166768.64253648007</v>
      </c>
      <c r="O31" s="2">
        <f t="shared" ca="1" si="3"/>
        <v>166768.64253648007</v>
      </c>
      <c r="P31" s="2">
        <f t="shared" ca="1" si="3"/>
        <v>167453.54263083613</v>
      </c>
      <c r="Q31" s="2">
        <f t="shared" ca="1" si="3"/>
        <v>259853.54263083613</v>
      </c>
      <c r="R31" s="2">
        <f t="shared" ca="1" si="3"/>
        <v>259853.54263083613</v>
      </c>
      <c r="S31" s="2">
        <f t="shared" ca="1" si="3"/>
        <v>260555.09557378589</v>
      </c>
      <c r="T31" s="2">
        <f t="shared" ca="1" si="3"/>
        <v>260555.09557378589</v>
      </c>
      <c r="U31" s="2">
        <f t="shared" ca="1" si="3"/>
        <v>260555.09557378589</v>
      </c>
      <c r="V31" s="2">
        <f t="shared" ca="1" si="3"/>
        <v>274985.97479699721</v>
      </c>
      <c r="W31" s="2">
        <f t="shared" ca="1" si="3"/>
        <v>289538.73315946513</v>
      </c>
      <c r="X31" s="2">
        <f t="shared" ca="1" si="3"/>
        <v>304956.84356562863</v>
      </c>
      <c r="Y31" s="2">
        <f t="shared" ca="1" si="3"/>
        <v>322030.29115590546</v>
      </c>
      <c r="Z31" s="2">
        <f t="shared" ca="1" si="3"/>
        <v>339336.53494346759</v>
      </c>
      <c r="AA31" s="2">
        <f t="shared" ca="1" si="3"/>
        <v>357671.86153837462</v>
      </c>
      <c r="AB31" s="2">
        <f t="shared" ca="1" si="3"/>
        <v>377849.88382317126</v>
      </c>
      <c r="AC31" s="2">
        <f t="shared" ca="1" si="3"/>
        <v>398430.592069312</v>
      </c>
      <c r="AD31" s="2">
        <f t="shared" ca="1" si="3"/>
        <v>420235.09291187406</v>
      </c>
      <c r="AE31" s="2">
        <f t="shared" ca="1" si="3"/>
        <v>444109.32965202862</v>
      </c>
      <c r="AF31" s="2">
        <f t="shared" ca="1" si="3"/>
        <v>468584.05433013418</v>
      </c>
      <c r="AG31" s="2">
        <f t="shared" ca="1" si="3"/>
        <v>494514.12187119183</v>
      </c>
      <c r="AH31" s="2">
        <f t="shared" ca="1" si="3"/>
        <v>564329.84337513894</v>
      </c>
      <c r="AI31" s="2">
        <f t="shared" ca="1" si="3"/>
        <v>593435.3601000749</v>
      </c>
      <c r="AJ31" s="2">
        <f t="shared" ca="1" si="3"/>
        <v>624271.58091240178</v>
      </c>
      <c r="AK31" s="2">
        <f t="shared" ca="1" si="3"/>
        <v>657749.7995115727</v>
      </c>
      <c r="AL31" s="2">
        <f t="shared" ca="1" si="3"/>
        <v>775522.28708669741</v>
      </c>
      <c r="AM31" s="2">
        <f t="shared" ca="1" si="3"/>
        <v>812192.94027651148</v>
      </c>
      <c r="AN31" s="2">
        <f t="shared" ca="1" si="3"/>
        <v>851872.16169589094</v>
      </c>
      <c r="AO31" s="2">
        <f t="shared" ca="1" si="3"/>
        <v>976193.57818817208</v>
      </c>
      <c r="AP31" s="2">
        <f t="shared" ca="1" si="3"/>
        <v>1019802.5798732961</v>
      </c>
      <c r="AQ31" s="2">
        <f t="shared" ca="1" si="3"/>
        <v>1066854.9831392134</v>
      </c>
      <c r="AR31" s="2">
        <f t="shared" ca="1" si="3"/>
        <v>1115804.4324954245</v>
      </c>
      <c r="AS31" s="2">
        <f t="shared" ca="1" si="3"/>
        <v>1167664.5675775397</v>
      </c>
      <c r="AT31" s="2">
        <f t="shared" ca="1" si="3"/>
        <v>1235811.1643934802</v>
      </c>
      <c r="AU31" s="2">
        <f t="shared" ca="1" si="3"/>
        <v>1307119.6803695734</v>
      </c>
      <c r="AV31" s="2">
        <f t="shared" ca="1" si="3"/>
        <v>1382668.4213597742</v>
      </c>
      <c r="AW31" s="2">
        <f t="shared" ca="1" si="3"/>
        <v>1463598.9290120727</v>
      </c>
      <c r="AX31" s="2">
        <f t="shared" ca="1" si="3"/>
        <v>1548399.5235711278</v>
      </c>
      <c r="AY31" s="2">
        <f t="shared" ca="1" si="3"/>
        <v>1638242.6238861722</v>
      </c>
      <c r="AZ31" s="2">
        <f t="shared" ca="1" si="3"/>
        <v>1734339.0879513919</v>
      </c>
      <c r="BA31" s="2">
        <f t="shared" ca="1" si="3"/>
        <v>1835184.5583574814</v>
      </c>
      <c r="BB31" s="2">
        <f t="shared" ca="1" si="3"/>
        <v>1942026.6124860353</v>
      </c>
      <c r="BC31" s="2">
        <f t="shared" ca="1" si="3"/>
        <v>2056156.9043649959</v>
      </c>
      <c r="BD31" s="2">
        <f t="shared" ca="1" si="3"/>
        <v>2176083.0552877137</v>
      </c>
      <c r="BE31" s="2">
        <f t="shared" ca="1" si="3"/>
        <v>2303140.3862388963</v>
      </c>
      <c r="BF31" s="2">
        <f t="shared" ca="1" si="3"/>
        <v>2438677.40462618</v>
      </c>
      <c r="BG31" s="2">
        <f t="shared" ca="1" si="3"/>
        <v>2581294.436578366</v>
      </c>
      <c r="BH31" s="2">
        <f t="shared" ca="1" si="3"/>
        <v>2732391.9185587675</v>
      </c>
      <c r="BI31" s="2">
        <f t="shared" ca="1" si="3"/>
        <v>2893452.5923918462</v>
      </c>
      <c r="BJ31" s="2">
        <f t="shared" ca="1" si="3"/>
        <v>3063053.7815099563</v>
      </c>
      <c r="BK31" s="2">
        <f t="shared" ca="1" si="3"/>
        <v>3242739.9821400456</v>
      </c>
      <c r="BL31" s="2">
        <f t="shared" ca="1" si="3"/>
        <v>3434113.1258512628</v>
      </c>
      <c r="BM31" s="2">
        <f t="shared" ca="1" si="3"/>
        <v>3635804.0666634417</v>
      </c>
      <c r="BN31" s="2">
        <f t="shared" ca="1" si="3"/>
        <v>3849488.1749205496</v>
      </c>
      <c r="BO31" s="2">
        <f t="shared" ca="1" si="3"/>
        <v>4076898.043775938</v>
      </c>
      <c r="BP31" s="2">
        <f t="shared" ca="1" si="3"/>
        <v>4316750.3456213744</v>
      </c>
      <c r="BQ31" s="2">
        <f t="shared" ca="1" si="3"/>
        <v>4570865.0075237397</v>
      </c>
    </row>
    <row r="32" spans="1:69">
      <c r="D32" s="94" t="s">
        <v>299</v>
      </c>
      <c r="E32" s="2" t="str">
        <f t="shared" ref="E32:BQ32" si="4" xml:space="preserve">  E$14</f>
        <v>Cash out on Inventory POS</v>
      </c>
      <c r="F32" s="2">
        <f t="shared" si="4"/>
        <v>0</v>
      </c>
      <c r="G32" s="2" t="str">
        <f t="shared" si="4"/>
        <v>GBP</v>
      </c>
      <c r="H32" s="2">
        <f t="shared" ca="1" si="4"/>
        <v>50694000</v>
      </c>
      <c r="I32" s="2">
        <f t="shared" si="4"/>
        <v>0</v>
      </c>
      <c r="J32" s="2">
        <f t="shared" ca="1" si="4"/>
        <v>0</v>
      </c>
      <c r="K32" s="2">
        <f t="shared" ca="1" si="4"/>
        <v>0</v>
      </c>
      <c r="L32" s="2">
        <f t="shared" ca="1" si="4"/>
        <v>105000</v>
      </c>
      <c r="M32" s="2">
        <f t="shared" ca="1" si="4"/>
        <v>105000</v>
      </c>
      <c r="N32" s="2">
        <f t="shared" ca="1" si="4"/>
        <v>105000</v>
      </c>
      <c r="O32" s="2">
        <f t="shared" ca="1" si="4"/>
        <v>0</v>
      </c>
      <c r="P32" s="2">
        <f t="shared" ca="1" si="4"/>
        <v>105000</v>
      </c>
      <c r="Q32" s="2">
        <f t="shared" ca="1" si="4"/>
        <v>0</v>
      </c>
      <c r="R32" s="2">
        <f t="shared" ca="1" si="4"/>
        <v>398999.99999999994</v>
      </c>
      <c r="S32" s="2">
        <f t="shared" ca="1" si="4"/>
        <v>293999.99999999994</v>
      </c>
      <c r="T32" s="2">
        <f t="shared" ca="1" si="4"/>
        <v>293999.99999999994</v>
      </c>
      <c r="U32" s="2">
        <f t="shared" ca="1" si="4"/>
        <v>0</v>
      </c>
      <c r="V32" s="2">
        <f t="shared" ca="1" si="4"/>
        <v>293999.99999999994</v>
      </c>
      <c r="W32" s="2">
        <f t="shared" ca="1" si="4"/>
        <v>0</v>
      </c>
      <c r="X32" s="2">
        <f t="shared" ca="1" si="4"/>
        <v>346499.99999999994</v>
      </c>
      <c r="Y32" s="2">
        <f t="shared" ca="1" si="4"/>
        <v>52500</v>
      </c>
      <c r="Z32" s="2">
        <f t="shared" ca="1" si="4"/>
        <v>52500</v>
      </c>
      <c r="AA32" s="2">
        <f t="shared" ca="1" si="4"/>
        <v>105000</v>
      </c>
      <c r="AB32" s="2">
        <f t="shared" ca="1" si="4"/>
        <v>52500</v>
      </c>
      <c r="AC32" s="2">
        <f t="shared" ca="1" si="4"/>
        <v>105000</v>
      </c>
      <c r="AD32" s="2">
        <f t="shared" ca="1" si="4"/>
        <v>199499.99999999997</v>
      </c>
      <c r="AE32" s="2">
        <f t="shared" ca="1" si="4"/>
        <v>251999.99999999997</v>
      </c>
      <c r="AF32" s="2">
        <f t="shared" ca="1" si="4"/>
        <v>251999.99999999997</v>
      </c>
      <c r="AG32" s="2">
        <f t="shared" ca="1" si="4"/>
        <v>398999.99999999994</v>
      </c>
      <c r="AH32" s="2">
        <f t="shared" ca="1" si="4"/>
        <v>251999.99999999997</v>
      </c>
      <c r="AI32" s="2">
        <f t="shared" ca="1" si="4"/>
        <v>451499.99999999994</v>
      </c>
      <c r="AJ32" s="2">
        <f t="shared" ca="1" si="4"/>
        <v>251999.99999999997</v>
      </c>
      <c r="AK32" s="2">
        <f t="shared" ca="1" si="4"/>
        <v>451499.99999999994</v>
      </c>
      <c r="AL32" s="2">
        <f t="shared" ca="1" si="4"/>
        <v>451499.99999999994</v>
      </c>
      <c r="AM32" s="2">
        <f t="shared" ca="1" si="4"/>
        <v>503999.99999999994</v>
      </c>
      <c r="AN32" s="2">
        <f t="shared" ca="1" si="4"/>
        <v>451499.99999999994</v>
      </c>
      <c r="AO32" s="2">
        <f t="shared" ca="1" si="4"/>
        <v>651000</v>
      </c>
      <c r="AP32" s="2">
        <f t="shared" ca="1" si="4"/>
        <v>556500</v>
      </c>
      <c r="AQ32" s="2">
        <f t="shared" ca="1" si="4"/>
        <v>651000</v>
      </c>
      <c r="AR32" s="2">
        <f t="shared" ca="1" si="4"/>
        <v>703500</v>
      </c>
      <c r="AS32" s="2">
        <f t="shared" ca="1" si="4"/>
        <v>850499.99999999988</v>
      </c>
      <c r="AT32" s="2">
        <f t="shared" ca="1" si="4"/>
        <v>703500</v>
      </c>
      <c r="AU32" s="2">
        <f t="shared" ca="1" si="4"/>
        <v>850499.99999999988</v>
      </c>
      <c r="AV32" s="2">
        <f t="shared" ca="1" si="4"/>
        <v>1050000</v>
      </c>
      <c r="AW32" s="2">
        <f t="shared" ca="1" si="4"/>
        <v>902999.99999999988</v>
      </c>
      <c r="AX32" s="2">
        <f t="shared" ca="1" si="4"/>
        <v>1102500</v>
      </c>
      <c r="AY32" s="2">
        <f t="shared" ca="1" si="4"/>
        <v>1102500</v>
      </c>
      <c r="AZ32" s="2">
        <f t="shared" ca="1" si="4"/>
        <v>1102500</v>
      </c>
      <c r="BA32" s="2">
        <f t="shared" ca="1" si="4"/>
        <v>1155000</v>
      </c>
      <c r="BB32" s="2">
        <f t="shared" ca="1" si="4"/>
        <v>1302000</v>
      </c>
      <c r="BC32" s="2">
        <f t="shared" ca="1" si="4"/>
        <v>1354500</v>
      </c>
      <c r="BD32" s="2">
        <f t="shared" ca="1" si="4"/>
        <v>1501500</v>
      </c>
      <c r="BE32" s="2">
        <f t="shared" ca="1" si="4"/>
        <v>1554000</v>
      </c>
      <c r="BF32" s="2">
        <f t="shared" ca="1" si="4"/>
        <v>1554000</v>
      </c>
      <c r="BG32" s="2">
        <f t="shared" ca="1" si="4"/>
        <v>1753499.9999999998</v>
      </c>
      <c r="BH32" s="2">
        <f t="shared" ca="1" si="4"/>
        <v>1805999.9999999998</v>
      </c>
      <c r="BI32" s="2">
        <f t="shared" ca="1" si="4"/>
        <v>1953000</v>
      </c>
      <c r="BJ32" s="2">
        <f t="shared" ca="1" si="4"/>
        <v>2005500</v>
      </c>
      <c r="BK32" s="2">
        <f t="shared" ca="1" si="4"/>
        <v>2205000</v>
      </c>
      <c r="BL32" s="2">
        <f t="shared" ca="1" si="4"/>
        <v>2257500</v>
      </c>
      <c r="BM32" s="2">
        <f t="shared" ca="1" si="4"/>
        <v>2404500</v>
      </c>
      <c r="BN32" s="2">
        <f t="shared" ca="1" si="4"/>
        <v>2656500</v>
      </c>
      <c r="BO32" s="2">
        <f t="shared" ca="1" si="4"/>
        <v>2656500</v>
      </c>
      <c r="BP32" s="2">
        <f t="shared" ca="1" si="4"/>
        <v>2908500</v>
      </c>
      <c r="BQ32" s="2">
        <f t="shared" ca="1" si="4"/>
        <v>3108000</v>
      </c>
    </row>
    <row r="33" spans="1:69">
      <c r="A33" s="18"/>
      <c r="B33" s="18"/>
      <c r="C33" s="28"/>
      <c r="D33" s="27" t="s">
        <v>299</v>
      </c>
      <c r="E33" s="4" t="str">
        <f xml:space="preserve">  Expense!E$19</f>
        <v>Fixed operating expense POS</v>
      </c>
      <c r="F33" s="4">
        <f xml:space="preserve">  Expense!F$19</f>
        <v>0</v>
      </c>
      <c r="G33" s="4" t="str">
        <f xml:space="preserve">  Expense!G$19</f>
        <v>GBP</v>
      </c>
      <c r="H33" s="4">
        <f xml:space="preserve">  Expense!H$19</f>
        <v>1899484.1637263105</v>
      </c>
      <c r="I33" s="4">
        <f xml:space="preserve">  Expense!I$19</f>
        <v>0</v>
      </c>
      <c r="J33" s="4">
        <f xml:space="preserve">  Expense!J$19</f>
        <v>25000</v>
      </c>
      <c r="K33" s="4">
        <f xml:space="preserve">  Expense!K$19</f>
        <v>25000</v>
      </c>
      <c r="L33" s="4">
        <f xml:space="preserve">  Expense!L$19</f>
        <v>25000</v>
      </c>
      <c r="M33" s="4">
        <f xml:space="preserve">  Expense!M$19</f>
        <v>25607.856851345517</v>
      </c>
      <c r="N33" s="4">
        <f xml:space="preserve">  Expense!N$19</f>
        <v>25607.856851345517</v>
      </c>
      <c r="O33" s="4">
        <f xml:space="preserve">  Expense!O$19</f>
        <v>25607.856851345517</v>
      </c>
      <c r="P33" s="4">
        <f xml:space="preserve">  Expense!P$19</f>
        <v>26230.493300760143</v>
      </c>
      <c r="Q33" s="4">
        <f xml:space="preserve">  Expense!Q$19</f>
        <v>26230.493300760143</v>
      </c>
      <c r="R33" s="4">
        <f xml:space="preserve">  Expense!R$19</f>
        <v>26230.493300760143</v>
      </c>
      <c r="S33" s="4">
        <f xml:space="preserve">  Expense!S$19</f>
        <v>26868.268703441732</v>
      </c>
      <c r="T33" s="4">
        <f xml:space="preserve">  Expense!T$19</f>
        <v>26868.268703441732</v>
      </c>
      <c r="U33" s="4">
        <f xml:space="preserve">  Expense!U$19</f>
        <v>26868.268703441732</v>
      </c>
      <c r="V33" s="4">
        <f xml:space="preserve">  Expense!V$19</f>
        <v>27500.000000000004</v>
      </c>
      <c r="W33" s="4">
        <f xml:space="preserve">  Expense!W$19</f>
        <v>27500.000000000004</v>
      </c>
      <c r="X33" s="4">
        <f xml:space="preserve">  Expense!X$19</f>
        <v>27500.000000000004</v>
      </c>
      <c r="Y33" s="4">
        <f xml:space="preserve">  Expense!Y$19</f>
        <v>28171.389663808775</v>
      </c>
      <c r="Z33" s="4">
        <f xml:space="preserve">  Expense!Z$19</f>
        <v>28171.389663808775</v>
      </c>
      <c r="AA33" s="4">
        <f xml:space="preserve">  Expense!AA$19</f>
        <v>28171.389663808775</v>
      </c>
      <c r="AB33" s="4">
        <f xml:space="preserve">  Expense!AB$19</f>
        <v>28855.408240598044</v>
      </c>
      <c r="AC33" s="4">
        <f xml:space="preserve">  Expense!AC$19</f>
        <v>28855.408240598044</v>
      </c>
      <c r="AD33" s="4">
        <f xml:space="preserve">  Expense!AD$19</f>
        <v>28855.408240598044</v>
      </c>
      <c r="AE33" s="4">
        <f xml:space="preserve">  Expense!AE$19</f>
        <v>29558.292610174307</v>
      </c>
      <c r="AF33" s="4">
        <f xml:space="preserve">  Expense!AF$19</f>
        <v>29558.292610174307</v>
      </c>
      <c r="AG33" s="4">
        <f xml:space="preserve">  Expense!AG$19</f>
        <v>29558.292610174307</v>
      </c>
      <c r="AH33" s="4">
        <f xml:space="preserve">  Expense!AH$19</f>
        <v>30252.630710131383</v>
      </c>
      <c r="AI33" s="4">
        <f xml:space="preserve">  Expense!AI$19</f>
        <v>30252.630710131383</v>
      </c>
      <c r="AJ33" s="4">
        <f xml:space="preserve">  Expense!AJ$19</f>
        <v>30252.630710131383</v>
      </c>
      <c r="AK33" s="4">
        <f xml:space="preserve">  Expense!AK$19</f>
        <v>30987.522236491855</v>
      </c>
      <c r="AL33" s="4">
        <f xml:space="preserve">  Expense!AL$19</f>
        <v>30987.522236491855</v>
      </c>
      <c r="AM33" s="4">
        <f xml:space="preserve">  Expense!AM$19</f>
        <v>30987.522236491855</v>
      </c>
      <c r="AN33" s="4">
        <f xml:space="preserve">  Expense!AN$19</f>
        <v>31740.265617148605</v>
      </c>
      <c r="AO33" s="4">
        <f xml:space="preserve">  Expense!AO$19</f>
        <v>31740.265617148605</v>
      </c>
      <c r="AP33" s="4">
        <f xml:space="preserve">  Expense!AP$19</f>
        <v>31740.265617148605</v>
      </c>
      <c r="AQ33" s="4">
        <f xml:space="preserve">  Expense!AQ$19</f>
        <v>32513.243252308428</v>
      </c>
      <c r="AR33" s="4">
        <f xml:space="preserve">  Expense!AR$19</f>
        <v>32513.243252308428</v>
      </c>
      <c r="AS33" s="4">
        <f xml:space="preserve">  Expense!AS$19</f>
        <v>32513.243252308428</v>
      </c>
      <c r="AT33" s="4">
        <f xml:space="preserve">  Expense!AT$19</f>
        <v>33277.170807448252</v>
      </c>
      <c r="AU33" s="4">
        <f xml:space="preserve">  Expense!AU$19</f>
        <v>33277.170807448252</v>
      </c>
      <c r="AV33" s="4">
        <f xml:space="preserve">  Expense!AV$19</f>
        <v>33277.170807448252</v>
      </c>
      <c r="AW33" s="4">
        <f xml:space="preserve">  Expense!AW$19</f>
        <v>34085.720578240354</v>
      </c>
      <c r="AX33" s="4">
        <f xml:space="preserve">  Expense!AX$19</f>
        <v>34085.720578240354</v>
      </c>
      <c r="AY33" s="4">
        <f xml:space="preserve">  Expense!AY$19</f>
        <v>34085.720578240354</v>
      </c>
      <c r="AZ33" s="4">
        <f xml:space="preserve">  Expense!AZ$19</f>
        <v>34913.916031522422</v>
      </c>
      <c r="BA33" s="4">
        <f xml:space="preserve">  Expense!BA$19</f>
        <v>34913.916031522422</v>
      </c>
      <c r="BB33" s="4">
        <f xml:space="preserve">  Expense!BB$19</f>
        <v>34913.916031522422</v>
      </c>
      <c r="BC33" s="4">
        <f xml:space="preserve">  Expense!BC$19</f>
        <v>35763.987489903346</v>
      </c>
      <c r="BD33" s="4">
        <f xml:space="preserve">  Expense!BD$19</f>
        <v>35763.987489903346</v>
      </c>
      <c r="BE33" s="4">
        <f xml:space="preserve">  Expense!BE$19</f>
        <v>35763.987489903346</v>
      </c>
      <c r="BF33" s="4">
        <f xml:space="preserve">  Expense!BF$19</f>
        <v>36604.410559640419</v>
      </c>
      <c r="BG33" s="4">
        <f xml:space="preserve">  Expense!BG$19</f>
        <v>36604.410559640419</v>
      </c>
      <c r="BH33" s="4">
        <f xml:space="preserve">  Expense!BH$19</f>
        <v>36604.410559640419</v>
      </c>
      <c r="BI33" s="4">
        <f xml:space="preserve">  Expense!BI$19</f>
        <v>37493.926945298947</v>
      </c>
      <c r="BJ33" s="4">
        <f xml:space="preserve">  Expense!BJ$19</f>
        <v>37493.926945298947</v>
      </c>
      <c r="BK33" s="4">
        <f xml:space="preserve">  Expense!BK$19</f>
        <v>37493.926945298947</v>
      </c>
      <c r="BL33" s="4">
        <f xml:space="preserve">  Expense!BL$19</f>
        <v>38405.059288932411</v>
      </c>
      <c r="BM33" s="4">
        <f xml:space="preserve">  Expense!BM$19</f>
        <v>38405.059288932411</v>
      </c>
      <c r="BN33" s="4">
        <f xml:space="preserve">  Expense!BN$19</f>
        <v>38405.059288932411</v>
      </c>
      <c r="BO33" s="4">
        <f xml:space="preserve">  Expense!BO$19</f>
        <v>39331.82502157487</v>
      </c>
      <c r="BP33" s="4">
        <f xml:space="preserve">  Expense!BP$19</f>
        <v>39331.82502157487</v>
      </c>
      <c r="BQ33" s="4">
        <f xml:space="preserve">  Expense!BQ$19</f>
        <v>39331.82502157487</v>
      </c>
    </row>
    <row r="34" spans="1:69">
      <c r="A34" s="18"/>
      <c r="B34" s="18"/>
      <c r="C34" s="28"/>
      <c r="D34" s="27" t="s">
        <v>299</v>
      </c>
      <c r="E34" s="4" t="str">
        <f xml:space="preserve">  Expense!E$26</f>
        <v>Variable Operating expense POS</v>
      </c>
      <c r="F34" s="4">
        <f xml:space="preserve">  Expense!F$26</f>
        <v>0</v>
      </c>
      <c r="G34" s="4" t="str">
        <f xml:space="preserve">  Expense!G$26</f>
        <v>GBP</v>
      </c>
      <c r="H34" s="4">
        <f ca="1" xml:space="preserve">  Expense!H$26</f>
        <v>69258760.470558211</v>
      </c>
      <c r="I34" s="4">
        <f xml:space="preserve">  Expense!I$26</f>
        <v>0</v>
      </c>
      <c r="J34" s="4">
        <f ca="1" xml:space="preserve">  Expense!J$26</f>
        <v>42000</v>
      </c>
      <c r="K34" s="4">
        <f ca="1" xml:space="preserve">  Expense!K$26</f>
        <v>42000</v>
      </c>
      <c r="L34" s="4">
        <f ca="1" xml:space="preserve">  Expense!L$26</f>
        <v>42000</v>
      </c>
      <c r="M34" s="4">
        <f ca="1" xml:space="preserve">  Expense!M$26</f>
        <v>42000</v>
      </c>
      <c r="N34" s="4">
        <f ca="1" xml:space="preserve">  Expense!N$26</f>
        <v>126000</v>
      </c>
      <c r="O34" s="4">
        <f ca="1" xml:space="preserve">  Expense!O$26</f>
        <v>126000</v>
      </c>
      <c r="P34" s="4">
        <f ca="1" xml:space="preserve">  Expense!P$26</f>
        <v>126000</v>
      </c>
      <c r="Q34" s="4">
        <f ca="1" xml:space="preserve">  Expense!Q$26</f>
        <v>210000</v>
      </c>
      <c r="R34" s="4">
        <f ca="1" xml:space="preserve">  Expense!R$26</f>
        <v>210000</v>
      </c>
      <c r="S34" s="4">
        <f ca="1" xml:space="preserve">  Expense!S$26</f>
        <v>210000</v>
      </c>
      <c r="T34" s="4">
        <f ca="1" xml:space="preserve">  Expense!T$26</f>
        <v>210000</v>
      </c>
      <c r="U34" s="4">
        <f ca="1" xml:space="preserve">  Expense!U$26</f>
        <v>210000</v>
      </c>
      <c r="V34" s="4">
        <f ca="1" xml:space="preserve">  Expense!V$26</f>
        <v>222487.24981545203</v>
      </c>
      <c r="W34" s="4">
        <f ca="1" xml:space="preserve">  Expense!W$26</f>
        <v>235717.0301449683</v>
      </c>
      <c r="X34" s="4">
        <f ca="1" xml:space="preserve">  Expense!X$26</f>
        <v>249733.49415057144</v>
      </c>
      <c r="Y34" s="4">
        <f ca="1" xml:space="preserve">  Expense!Y$26</f>
        <v>264583.42047792341</v>
      </c>
      <c r="Z34" s="4">
        <f ca="1" xml:space="preserve">  Expense!Z$26</f>
        <v>280316.36937570723</v>
      </c>
      <c r="AA34" s="4">
        <f ca="1" xml:space="preserve">  Expense!AA$26</f>
        <v>296984.84809834993</v>
      </c>
      <c r="AB34" s="4">
        <f ca="1" xml:space="preserve">  Expense!AB$26</f>
        <v>314644.48614410311</v>
      </c>
      <c r="AC34" s="4">
        <f ca="1" xml:space="preserve">  Expense!AC$26</f>
        <v>333354.22091332194</v>
      </c>
      <c r="AD34" s="4">
        <f ca="1" xml:space="preserve">  Expense!AD$26</f>
        <v>353176.4944065602</v>
      </c>
      <c r="AE34" s="4">
        <f ca="1" xml:space="preserve">  Expense!AE$26</f>
        <v>374177.46161894262</v>
      </c>
      <c r="AF34" s="4">
        <f ca="1" xml:space="preserve">  Expense!AF$26</f>
        <v>396427.21132631134</v>
      </c>
      <c r="AG34" s="4">
        <f ca="1" xml:space="preserve">  Expense!AG$26</f>
        <v>420000.00000000012</v>
      </c>
      <c r="AH34" s="4">
        <f ca="1" xml:space="preserve">  Expense!AH$26</f>
        <v>482774.49963090406</v>
      </c>
      <c r="AI34" s="4">
        <f ca="1" xml:space="preserve">  Expense!AI$26</f>
        <v>509234.06028993672</v>
      </c>
      <c r="AJ34" s="4">
        <f ca="1" xml:space="preserve">  Expense!AJ$26</f>
        <v>537266.98830114293</v>
      </c>
      <c r="AK34" s="4">
        <f ca="1" xml:space="preserve">  Expense!AK$26</f>
        <v>566966.84095584694</v>
      </c>
      <c r="AL34" s="4">
        <f ca="1" xml:space="preserve">  Expense!AL$26</f>
        <v>674032.73875141481</v>
      </c>
      <c r="AM34" s="4">
        <f ca="1" xml:space="preserve">  Expense!AM$26</f>
        <v>707369.69619670033</v>
      </c>
      <c r="AN34" s="4">
        <f ca="1" xml:space="preserve">  Expense!AN$26</f>
        <v>742688.9722882068</v>
      </c>
      <c r="AO34" s="4">
        <f ca="1" xml:space="preserve">  Expense!AO$26</f>
        <v>855708.44182664424</v>
      </c>
      <c r="AP34" s="4">
        <f ca="1" xml:space="preserve">  Expense!AP$26</f>
        <v>895352.98881312052</v>
      </c>
      <c r="AQ34" s="4">
        <f ca="1" xml:space="preserve">  Expense!AQ$26</f>
        <v>937354.92323788558</v>
      </c>
      <c r="AR34" s="4">
        <f ca="1" xml:space="preserve">  Expense!AR$26</f>
        <v>981854.42265262292</v>
      </c>
      <c r="AS34" s="4">
        <f ca="1" xml:space="preserve">  Expense!AS$26</f>
        <v>1029000.0000000005</v>
      </c>
      <c r="AT34" s="4">
        <f ca="1" xml:space="preserve">  Expense!AT$26</f>
        <v>1090187.5240957155</v>
      </c>
      <c r="AU34" s="4">
        <f ca="1" xml:space="preserve">  Expense!AU$26</f>
        <v>1155013.4477103457</v>
      </c>
      <c r="AV34" s="4">
        <f ca="1" xml:space="preserve">  Expense!AV$26</f>
        <v>1223694.121337801</v>
      </c>
      <c r="AW34" s="4">
        <f ca="1" xml:space="preserve">  Expense!AW$26</f>
        <v>1296458.7603418257</v>
      </c>
      <c r="AX34" s="4">
        <f ca="1" xml:space="preserve">  Expense!AX$26</f>
        <v>1373550.2099409667</v>
      </c>
      <c r="AY34" s="4">
        <f ca="1" xml:space="preserve">  Expense!AY$26</f>
        <v>1455225.7556819161</v>
      </c>
      <c r="AZ34" s="4">
        <f ca="1" xml:space="preserve">  Expense!AZ$26</f>
        <v>1541757.9821061066</v>
      </c>
      <c r="BA34" s="4">
        <f ca="1" xml:space="preserve">  Expense!BA$26</f>
        <v>1633435.6824752789</v>
      </c>
      <c r="BB34" s="4">
        <f ca="1" xml:space="preserve">  Expense!BB$26</f>
        <v>1730564.822592146</v>
      </c>
      <c r="BC34" s="4">
        <f ca="1" xml:space="preserve">  Expense!BC$26</f>
        <v>1833469.5619328201</v>
      </c>
      <c r="BD34" s="4">
        <f ca="1" xml:space="preserve">  Expense!BD$26</f>
        <v>1942493.3354989272</v>
      </c>
      <c r="BE34" s="4">
        <f ca="1" xml:space="preserve">  Expense!BE$26</f>
        <v>2058000.0000000023</v>
      </c>
      <c r="BF34" s="4">
        <f ca="1" xml:space="preserve">  Expense!BF$26</f>
        <v>2180375.0481914324</v>
      </c>
      <c r="BG34" s="4">
        <f ca="1" xml:space="preserve">  Expense!BG$26</f>
        <v>2310026.8954206924</v>
      </c>
      <c r="BH34" s="4">
        <f ca="1" xml:space="preserve">  Expense!BH$26</f>
        <v>2447388.2426756029</v>
      </c>
      <c r="BI34" s="4">
        <f ca="1" xml:space="preserve">  Expense!BI$26</f>
        <v>2592917.5206836523</v>
      </c>
      <c r="BJ34" s="4">
        <f ca="1" xml:space="preserve">  Expense!BJ$26</f>
        <v>2747100.4198819343</v>
      </c>
      <c r="BK34" s="4">
        <f ca="1" xml:space="preserve">  Expense!BK$26</f>
        <v>2910451.5113638337</v>
      </c>
      <c r="BL34" s="4">
        <f ca="1" xml:space="preserve">  Expense!BL$26</f>
        <v>3083515.9642122155</v>
      </c>
      <c r="BM34" s="4">
        <f ca="1" xml:space="preserve">  Expense!BM$26</f>
        <v>3266871.36495056</v>
      </c>
      <c r="BN34" s="4">
        <f ca="1" xml:space="preserve">  Expense!BN$26</f>
        <v>3461129.6451842943</v>
      </c>
      <c r="BO34" s="4">
        <f ca="1" xml:space="preserve">  Expense!BO$26</f>
        <v>3666939.1238656417</v>
      </c>
      <c r="BP34" s="4">
        <f ca="1" xml:space="preserve">  Expense!BP$26</f>
        <v>3884986.6709978567</v>
      </c>
      <c r="BQ34" s="4">
        <f ca="1" xml:space="preserve">  Expense!BQ$26</f>
        <v>4116000.000000007</v>
      </c>
    </row>
    <row r="35" spans="1:69">
      <c r="A35" s="18"/>
      <c r="B35" s="18"/>
      <c r="C35" s="28"/>
      <c r="D35" s="27" t="s">
        <v>299</v>
      </c>
      <c r="E35" s="4" t="str">
        <f xml:space="preserve">  Expense!E$13</f>
        <v>VAT on operating expense</v>
      </c>
      <c r="F35" s="4">
        <f xml:space="preserve">  Expense!F$13</f>
        <v>0</v>
      </c>
      <c r="G35" s="4" t="str">
        <f xml:space="preserve">  Expense!G$13</f>
        <v>GBP</v>
      </c>
      <c r="H35" s="4">
        <f ca="1" xml:space="preserve">  Expense!H$13</f>
        <v>7115824.4634284526</v>
      </c>
      <c r="I35" s="4">
        <f xml:space="preserve">  Expense!I$13</f>
        <v>0</v>
      </c>
      <c r="J35" s="4">
        <f ca="1" xml:space="preserve">  Expense!J$13</f>
        <v>6700</v>
      </c>
      <c r="K35" s="4">
        <f ca="1" xml:space="preserve">  Expense!K$13</f>
        <v>6700</v>
      </c>
      <c r="L35" s="4">
        <f ca="1" xml:space="preserve">  Expense!L$13</f>
        <v>6700</v>
      </c>
      <c r="M35" s="4">
        <f ca="1" xml:space="preserve">  Expense!M$13</f>
        <v>6760.7856851345514</v>
      </c>
      <c r="N35" s="4">
        <f ca="1" xml:space="preserve">  Expense!N$13</f>
        <v>15160.785685134551</v>
      </c>
      <c r="O35" s="4">
        <f ca="1" xml:space="preserve">  Expense!O$13</f>
        <v>15160.785685134551</v>
      </c>
      <c r="P35" s="4">
        <f ca="1" xml:space="preserve">  Expense!P$13</f>
        <v>15223.049330076014</v>
      </c>
      <c r="Q35" s="4">
        <f ca="1" xml:space="preserve">  Expense!Q$13</f>
        <v>23623.049330076014</v>
      </c>
      <c r="R35" s="4">
        <f ca="1" xml:space="preserve">  Expense!R$13</f>
        <v>23623.049330076014</v>
      </c>
      <c r="S35" s="4">
        <f ca="1" xml:space="preserve">  Expense!S$13</f>
        <v>23686.826870344172</v>
      </c>
      <c r="T35" s="4">
        <f ca="1" xml:space="preserve">  Expense!T$13</f>
        <v>23686.826870344172</v>
      </c>
      <c r="U35" s="4">
        <f ca="1" xml:space="preserve">  Expense!U$13</f>
        <v>23686.826870344172</v>
      </c>
      <c r="V35" s="4">
        <f ca="1" xml:space="preserve">  Expense!V$13</f>
        <v>24998.724981545205</v>
      </c>
      <c r="W35" s="4">
        <f ca="1" xml:space="preserve">  Expense!W$13</f>
        <v>26321.70301449683</v>
      </c>
      <c r="X35" s="4">
        <f ca="1" xml:space="preserve">  Expense!X$13</f>
        <v>27723.34941505715</v>
      </c>
      <c r="Y35" s="4">
        <f ca="1" xml:space="preserve">  Expense!Y$13</f>
        <v>29275.481014173223</v>
      </c>
      <c r="Z35" s="4">
        <f ca="1" xml:space="preserve">  Expense!Z$13</f>
        <v>30848.775903951599</v>
      </c>
      <c r="AA35" s="4">
        <f ca="1" xml:space="preserve">  Expense!AA$13</f>
        <v>32515.623776215874</v>
      </c>
      <c r="AB35" s="4">
        <f ca="1" xml:space="preserve">  Expense!AB$13</f>
        <v>34349.989438470118</v>
      </c>
      <c r="AC35" s="4">
        <f ca="1" xml:space="preserve">  Expense!AC$13</f>
        <v>36220.962915392003</v>
      </c>
      <c r="AD35" s="4">
        <f ca="1" xml:space="preserve">  Expense!AD$13</f>
        <v>38203.190264715828</v>
      </c>
      <c r="AE35" s="4">
        <f ca="1" xml:space="preserve">  Expense!AE$13</f>
        <v>40373.575422911701</v>
      </c>
      <c r="AF35" s="4">
        <f ca="1" xml:space="preserve">  Expense!AF$13</f>
        <v>42598.550393648562</v>
      </c>
      <c r="AG35" s="4">
        <f ca="1" xml:space="preserve">  Expense!AG$13</f>
        <v>44955.829261017439</v>
      </c>
      <c r="AH35" s="4">
        <f ca="1" xml:space="preserve">  Expense!AH$13</f>
        <v>51302.713034103544</v>
      </c>
      <c r="AI35" s="4">
        <f ca="1" xml:space="preserve">  Expense!AI$13</f>
        <v>53948.669100006809</v>
      </c>
      <c r="AJ35" s="4">
        <f ca="1" xml:space="preserve">  Expense!AJ$13</f>
        <v>56751.961901127434</v>
      </c>
      <c r="AK35" s="4">
        <f ca="1" xml:space="preserve">  Expense!AK$13</f>
        <v>59795.436319233886</v>
      </c>
      <c r="AL35" s="4">
        <f ca="1" xml:space="preserve">  Expense!AL$13</f>
        <v>70502.02609879068</v>
      </c>
      <c r="AM35" s="4">
        <f ca="1" xml:space="preserve">  Expense!AM$13</f>
        <v>73835.721843319232</v>
      </c>
      <c r="AN35" s="4">
        <f ca="1" xml:space="preserve">  Expense!AN$13</f>
        <v>77442.92379053554</v>
      </c>
      <c r="AO35" s="4">
        <f ca="1" xml:space="preserve">  Expense!AO$13</f>
        <v>88744.870744379296</v>
      </c>
      <c r="AP35" s="4">
        <f ca="1" xml:space="preserve">  Expense!AP$13</f>
        <v>92709.325443026915</v>
      </c>
      <c r="AQ35" s="4">
        <f ca="1" xml:space="preserve">  Expense!AQ$13</f>
        <v>96986.816649019413</v>
      </c>
      <c r="AR35" s="4">
        <f ca="1" xml:space="preserve">  Expense!AR$13</f>
        <v>101436.76659049315</v>
      </c>
      <c r="AS35" s="4">
        <f ca="1" xml:space="preserve">  Expense!AS$13</f>
        <v>106151.32432523089</v>
      </c>
      <c r="AT35" s="4">
        <f ca="1" xml:space="preserve">  Expense!AT$13</f>
        <v>112346.46949031638</v>
      </c>
      <c r="AU35" s="4">
        <f ca="1" xml:space="preserve">  Expense!AU$13</f>
        <v>118829.06185177941</v>
      </c>
      <c r="AV35" s="4">
        <f ca="1" xml:space="preserve">  Expense!AV$13</f>
        <v>125697.12921452493</v>
      </c>
      <c r="AW35" s="4">
        <f ca="1" xml:space="preserve">  Expense!AW$13</f>
        <v>133054.44809200661</v>
      </c>
      <c r="AX35" s="4">
        <f ca="1" xml:space="preserve">  Expense!AX$13</f>
        <v>140763.59305192073</v>
      </c>
      <c r="AY35" s="4">
        <f ca="1" xml:space="preserve">  Expense!AY$13</f>
        <v>148931.14762601568</v>
      </c>
      <c r="AZ35" s="4">
        <f ca="1" xml:space="preserve">  Expense!AZ$13</f>
        <v>157667.1898137629</v>
      </c>
      <c r="BA35" s="4">
        <f ca="1" xml:space="preserve">  Expense!BA$13</f>
        <v>166834.95985068014</v>
      </c>
      <c r="BB35" s="4">
        <f ca="1" xml:space="preserve">  Expense!BB$13</f>
        <v>176547.87386236686</v>
      </c>
      <c r="BC35" s="4">
        <f ca="1" xml:space="preserve">  Expense!BC$13</f>
        <v>186923.35494227236</v>
      </c>
      <c r="BD35" s="4">
        <f ca="1" xml:space="preserve">  Expense!BD$13</f>
        <v>197825.73229888306</v>
      </c>
      <c r="BE35" s="4">
        <f ca="1" xml:space="preserve">  Expense!BE$13</f>
        <v>209376.39874899058</v>
      </c>
      <c r="BF35" s="4">
        <f ca="1" xml:space="preserve">  Expense!BF$13</f>
        <v>221697.94587510728</v>
      </c>
      <c r="BG35" s="4">
        <f ca="1" xml:space="preserve">  Expense!BG$13</f>
        <v>234663.13059803328</v>
      </c>
      <c r="BH35" s="4">
        <f ca="1" xml:space="preserve">  Expense!BH$13</f>
        <v>248399.26532352433</v>
      </c>
      <c r="BI35" s="4">
        <f ca="1" xml:space="preserve">  Expense!BI$13</f>
        <v>263041.14476289513</v>
      </c>
      <c r="BJ35" s="4">
        <f ca="1" xml:space="preserve">  Expense!BJ$13</f>
        <v>278459.43468272331</v>
      </c>
      <c r="BK35" s="4">
        <f ca="1" xml:space="preserve">  Expense!BK$13</f>
        <v>294794.54383091326</v>
      </c>
      <c r="BL35" s="4">
        <f ca="1" xml:space="preserve">  Expense!BL$13</f>
        <v>312192.10235011479</v>
      </c>
      <c r="BM35" s="4">
        <f ca="1" xml:space="preserve">  Expense!BM$13</f>
        <v>330527.64242394926</v>
      </c>
      <c r="BN35" s="4">
        <f ca="1" xml:space="preserve">  Expense!BN$13</f>
        <v>349953.4704473227</v>
      </c>
      <c r="BO35" s="4">
        <f ca="1" xml:space="preserve">  Expense!BO$13</f>
        <v>370627.09488872165</v>
      </c>
      <c r="BP35" s="4">
        <f ca="1" xml:space="preserve">  Expense!BP$13</f>
        <v>392431.84960194316</v>
      </c>
      <c r="BQ35" s="4">
        <f ca="1" xml:space="preserve">  Expense!BQ$13</f>
        <v>415533.18250215822</v>
      </c>
    </row>
    <row r="36" spans="1:69" s="86" customFormat="1">
      <c r="A36" s="63"/>
      <c r="B36" s="63"/>
      <c r="C36" s="89"/>
      <c r="D36" s="91"/>
      <c r="E36" s="33" t="s">
        <v>301</v>
      </c>
      <c r="F36" s="33"/>
      <c r="G36" s="33" t="s">
        <v>257</v>
      </c>
      <c r="H36" s="33"/>
      <c r="I36" s="11">
        <f t="shared" ref="I36:BQ36" si="5" xml:space="preserve">  IF( I27 = 0, $F26, I28 + I29 + I30 - I32 + I33 + I34 + I35 - I31 )</f>
        <v>0</v>
      </c>
      <c r="J36" s="11">
        <f t="shared" ca="1" si="5"/>
        <v>0</v>
      </c>
      <c r="K36" s="11">
        <f t="shared" ca="1" si="5"/>
        <v>0</v>
      </c>
      <c r="L36" s="11">
        <f t="shared" ca="1" si="5"/>
        <v>315000</v>
      </c>
      <c r="M36" s="11">
        <f t="shared" ca="1" si="5"/>
        <v>630000</v>
      </c>
      <c r="N36" s="11">
        <f t="shared" ca="1" si="5"/>
        <v>944999.99999999988</v>
      </c>
      <c r="O36" s="11">
        <f t="shared" ca="1" si="5"/>
        <v>944999.99999999988</v>
      </c>
      <c r="P36" s="11">
        <f t="shared" ca="1" si="5"/>
        <v>1260000</v>
      </c>
      <c r="Q36" s="11">
        <f t="shared" ca="1" si="5"/>
        <v>1260000</v>
      </c>
      <c r="R36" s="11">
        <f t="shared" ca="1" si="5"/>
        <v>1281000</v>
      </c>
      <c r="S36" s="11">
        <f t="shared" ca="1" si="5"/>
        <v>986999.99999999977</v>
      </c>
      <c r="T36" s="11">
        <f t="shared" ca="1" si="5"/>
        <v>692999.99999999977</v>
      </c>
      <c r="U36" s="11">
        <f t="shared" ca="1" si="5"/>
        <v>692999.99999999977</v>
      </c>
      <c r="V36" s="11">
        <f t="shared" ca="1" si="5"/>
        <v>398999.99999999994</v>
      </c>
      <c r="W36" s="11">
        <f t="shared" ca="1" si="5"/>
        <v>399000</v>
      </c>
      <c r="X36" s="11">
        <f t="shared" ca="1" si="5"/>
        <v>262500</v>
      </c>
      <c r="Y36" s="11">
        <f t="shared" ca="1" si="5"/>
        <v>420000</v>
      </c>
      <c r="Z36" s="11">
        <f t="shared" ca="1" si="5"/>
        <v>577500</v>
      </c>
      <c r="AA36" s="11">
        <f t="shared" ca="1" si="5"/>
        <v>892500</v>
      </c>
      <c r="AB36" s="11">
        <f t="shared" ca="1" si="5"/>
        <v>1050000.0000000002</v>
      </c>
      <c r="AC36" s="11">
        <f t="shared" ca="1" si="5"/>
        <v>1365000</v>
      </c>
      <c r="AD36" s="11">
        <f t="shared" ca="1" si="5"/>
        <v>1375500</v>
      </c>
      <c r="AE36" s="11">
        <f t="shared" ca="1" si="5"/>
        <v>1543500</v>
      </c>
      <c r="AF36" s="11">
        <f t="shared" ca="1" si="5"/>
        <v>1711499.9999999995</v>
      </c>
      <c r="AG36" s="11">
        <f t="shared" ca="1" si="5"/>
        <v>1732499.9999999998</v>
      </c>
      <c r="AH36" s="11">
        <f t="shared" ca="1" si="5"/>
        <v>1900500</v>
      </c>
      <c r="AI36" s="11">
        <f t="shared" ca="1" si="5"/>
        <v>2078999.9999999998</v>
      </c>
      <c r="AJ36" s="11">
        <f t="shared" ca="1" si="5"/>
        <v>2247000</v>
      </c>
      <c r="AK36" s="11">
        <f t="shared" ca="1" si="5"/>
        <v>2425500</v>
      </c>
      <c r="AL36" s="11">
        <f t="shared" ca="1" si="5"/>
        <v>2604000</v>
      </c>
      <c r="AM36" s="11">
        <f t="shared" ca="1" si="5"/>
        <v>2940000</v>
      </c>
      <c r="AN36" s="11">
        <f t="shared" ca="1" si="5"/>
        <v>3118499.9999999995</v>
      </c>
      <c r="AO36" s="11">
        <f t="shared" ca="1" si="5"/>
        <v>3307499.9999999995</v>
      </c>
      <c r="AP36" s="11">
        <f t="shared" ca="1" si="5"/>
        <v>3800999.9999999995</v>
      </c>
      <c r="AQ36" s="11">
        <f t="shared" ca="1" si="5"/>
        <v>3990000.0000000009</v>
      </c>
      <c r="AR36" s="11">
        <f t="shared" ca="1" si="5"/>
        <v>4336500</v>
      </c>
      <c r="AS36" s="11">
        <f t="shared" ca="1" si="5"/>
        <v>4536000</v>
      </c>
      <c r="AT36" s="11">
        <f t="shared" ca="1" si="5"/>
        <v>4882500</v>
      </c>
      <c r="AU36" s="11">
        <f t="shared" ca="1" si="5"/>
        <v>5081999.9999999991</v>
      </c>
      <c r="AV36" s="11">
        <f t="shared" ca="1" si="5"/>
        <v>5292000</v>
      </c>
      <c r="AW36" s="11">
        <f t="shared" ca="1" si="5"/>
        <v>5649000</v>
      </c>
      <c r="AX36" s="11">
        <f t="shared" ca="1" si="5"/>
        <v>6016499.9999999991</v>
      </c>
      <c r="AY36" s="11">
        <f t="shared" ca="1" si="5"/>
        <v>6383999.9999999981</v>
      </c>
      <c r="AZ36" s="11">
        <f t="shared" ca="1" si="5"/>
        <v>6751499.9999999981</v>
      </c>
      <c r="BA36" s="11">
        <f t="shared" ca="1" si="5"/>
        <v>7276499.9999999981</v>
      </c>
      <c r="BB36" s="11">
        <f t="shared" ca="1" si="5"/>
        <v>7654499.9999999991</v>
      </c>
      <c r="BC36" s="11">
        <f t="shared" ca="1" si="5"/>
        <v>8190000</v>
      </c>
      <c r="BD36" s="11">
        <f t="shared" ca="1" si="5"/>
        <v>8578500</v>
      </c>
      <c r="BE36" s="11">
        <f t="shared" ca="1" si="5"/>
        <v>9124500</v>
      </c>
      <c r="BF36" s="11">
        <f t="shared" ca="1" si="5"/>
        <v>9670500</v>
      </c>
      <c r="BG36" s="11">
        <f t="shared" ca="1" si="5"/>
        <v>10227000</v>
      </c>
      <c r="BH36" s="11">
        <f t="shared" ca="1" si="5"/>
        <v>10941000</v>
      </c>
      <c r="BI36" s="11">
        <f t="shared" ca="1" si="5"/>
        <v>11508000</v>
      </c>
      <c r="BJ36" s="11">
        <f t="shared" ca="1" si="5"/>
        <v>12232500</v>
      </c>
      <c r="BK36" s="11">
        <f t="shared" ca="1" si="5"/>
        <v>12967500</v>
      </c>
      <c r="BL36" s="11">
        <f t="shared" ca="1" si="5"/>
        <v>13860000</v>
      </c>
      <c r="BM36" s="11">
        <f t="shared" ca="1" si="5"/>
        <v>14605500.000000002</v>
      </c>
      <c r="BN36" s="11">
        <f t="shared" ca="1" si="5"/>
        <v>15519000.000000002</v>
      </c>
      <c r="BO36" s="11">
        <f t="shared" ca="1" si="5"/>
        <v>16432499.999999996</v>
      </c>
      <c r="BP36" s="11">
        <f t="shared" ca="1" si="5"/>
        <v>17514000</v>
      </c>
      <c r="BQ36" s="11">
        <f t="shared" ca="1" si="5"/>
        <v>18606000</v>
      </c>
    </row>
    <row r="38" spans="1:69">
      <c r="B38" s="25" t="s">
        <v>302</v>
      </c>
    </row>
    <row r="39" spans="1:69" s="80" customFormat="1">
      <c r="A39" s="60"/>
      <c r="B39" s="60"/>
      <c r="C39" s="82"/>
      <c r="D39" s="85"/>
      <c r="E39" s="40" t="str">
        <f xml:space="preserve">  InpC!E$52</f>
        <v>Opening Debtors</v>
      </c>
      <c r="F39" s="40">
        <f xml:space="preserve">  InpC!F$52</f>
        <v>0</v>
      </c>
      <c r="G39" s="40" t="str">
        <f xml:space="preserve">  InpC!G$52</f>
        <v>GBP</v>
      </c>
      <c r="M39" s="87"/>
    </row>
    <row r="40" spans="1:69">
      <c r="A40" s="18"/>
      <c r="B40" s="18"/>
      <c r="C40" s="28"/>
      <c r="D40" s="27"/>
      <c r="E40" s="9" t="str">
        <f xml:space="preserve">  Time!E$28</f>
        <v>Period number</v>
      </c>
      <c r="F40" s="9">
        <f xml:space="preserve">  Time!F$28</f>
        <v>0</v>
      </c>
      <c r="G40" s="9" t="str">
        <f xml:space="preserve">  Time!G$28</f>
        <v>Counter</v>
      </c>
      <c r="H40" s="9">
        <f xml:space="preserve">  Time!H$28</f>
        <v>0</v>
      </c>
      <c r="I40" s="9">
        <f xml:space="preserve">  Time!I$28</f>
        <v>0</v>
      </c>
      <c r="J40" s="9">
        <f xml:space="preserve">  Time!J$28</f>
        <v>1</v>
      </c>
      <c r="K40" s="9">
        <f xml:space="preserve">  Time!K$28</f>
        <v>2</v>
      </c>
      <c r="L40" s="9">
        <f xml:space="preserve">  Time!L$28</f>
        <v>3</v>
      </c>
      <c r="M40" s="9">
        <f xml:space="preserve">  Time!M$28</f>
        <v>4</v>
      </c>
      <c r="N40" s="9">
        <f xml:space="preserve">  Time!N$28</f>
        <v>5</v>
      </c>
      <c r="O40" s="9">
        <f xml:space="preserve">  Time!O$28</f>
        <v>6</v>
      </c>
      <c r="P40" s="9">
        <f xml:space="preserve">  Time!P$28</f>
        <v>7</v>
      </c>
      <c r="Q40" s="9">
        <f xml:space="preserve">  Time!Q$28</f>
        <v>8</v>
      </c>
      <c r="R40" s="9">
        <f xml:space="preserve">  Time!R$28</f>
        <v>9</v>
      </c>
      <c r="S40" s="9">
        <f xml:space="preserve">  Time!S$28</f>
        <v>10</v>
      </c>
      <c r="T40" s="9">
        <f xml:space="preserve">  Time!T$28</f>
        <v>11</v>
      </c>
      <c r="U40" s="9">
        <f xml:space="preserve">  Time!U$28</f>
        <v>12</v>
      </c>
      <c r="V40" s="9">
        <f xml:space="preserve">  Time!V$28</f>
        <v>13</v>
      </c>
      <c r="W40" s="9">
        <f xml:space="preserve">  Time!W$28</f>
        <v>14</v>
      </c>
      <c r="X40" s="9">
        <f xml:space="preserve">  Time!X$28</f>
        <v>15</v>
      </c>
      <c r="Y40" s="9">
        <f xml:space="preserve">  Time!Y$28</f>
        <v>16</v>
      </c>
      <c r="Z40" s="9">
        <f xml:space="preserve">  Time!Z$28</f>
        <v>17</v>
      </c>
      <c r="AA40" s="9">
        <f xml:space="preserve">  Time!AA$28</f>
        <v>18</v>
      </c>
      <c r="AB40" s="9">
        <f xml:space="preserve">  Time!AB$28</f>
        <v>19</v>
      </c>
      <c r="AC40" s="9">
        <f xml:space="preserve">  Time!AC$28</f>
        <v>20</v>
      </c>
      <c r="AD40" s="9">
        <f xml:space="preserve">  Time!AD$28</f>
        <v>21</v>
      </c>
      <c r="AE40" s="9">
        <f xml:space="preserve">  Time!AE$28</f>
        <v>22</v>
      </c>
      <c r="AF40" s="9">
        <f xml:space="preserve">  Time!AF$28</f>
        <v>23</v>
      </c>
      <c r="AG40" s="9">
        <f xml:space="preserve">  Time!AG$28</f>
        <v>24</v>
      </c>
      <c r="AH40" s="9">
        <f xml:space="preserve">  Time!AH$28</f>
        <v>25</v>
      </c>
      <c r="AI40" s="9">
        <f xml:space="preserve">  Time!AI$28</f>
        <v>26</v>
      </c>
      <c r="AJ40" s="9">
        <f xml:space="preserve">  Time!AJ$28</f>
        <v>27</v>
      </c>
      <c r="AK40" s="9">
        <f xml:space="preserve">  Time!AK$28</f>
        <v>28</v>
      </c>
      <c r="AL40" s="9">
        <f xml:space="preserve">  Time!AL$28</f>
        <v>29</v>
      </c>
      <c r="AM40" s="9">
        <f xml:space="preserve">  Time!AM$28</f>
        <v>30</v>
      </c>
      <c r="AN40" s="9">
        <f xml:space="preserve">  Time!AN$28</f>
        <v>31</v>
      </c>
      <c r="AO40" s="9">
        <f xml:space="preserve">  Time!AO$28</f>
        <v>32</v>
      </c>
      <c r="AP40" s="9">
        <f xml:space="preserve">  Time!AP$28</f>
        <v>33</v>
      </c>
      <c r="AQ40" s="9">
        <f xml:space="preserve">  Time!AQ$28</f>
        <v>34</v>
      </c>
      <c r="AR40" s="9">
        <f xml:space="preserve">  Time!AR$28</f>
        <v>35</v>
      </c>
      <c r="AS40" s="9">
        <f xml:space="preserve">  Time!AS$28</f>
        <v>36</v>
      </c>
      <c r="AT40" s="9">
        <f xml:space="preserve">  Time!AT$28</f>
        <v>37</v>
      </c>
      <c r="AU40" s="9">
        <f xml:space="preserve">  Time!AU$28</f>
        <v>38</v>
      </c>
      <c r="AV40" s="9">
        <f xml:space="preserve">  Time!AV$28</f>
        <v>39</v>
      </c>
      <c r="AW40" s="9">
        <f xml:space="preserve">  Time!AW$28</f>
        <v>40</v>
      </c>
      <c r="AX40" s="9">
        <f xml:space="preserve">  Time!AX$28</f>
        <v>41</v>
      </c>
      <c r="AY40" s="9">
        <f xml:space="preserve">  Time!AY$28</f>
        <v>42</v>
      </c>
      <c r="AZ40" s="9">
        <f xml:space="preserve">  Time!AZ$28</f>
        <v>43</v>
      </c>
      <c r="BA40" s="9">
        <f xml:space="preserve">  Time!BA$28</f>
        <v>44</v>
      </c>
      <c r="BB40" s="9">
        <f xml:space="preserve">  Time!BB$28</f>
        <v>45</v>
      </c>
      <c r="BC40" s="9">
        <f xml:space="preserve">  Time!BC$28</f>
        <v>46</v>
      </c>
      <c r="BD40" s="9">
        <f xml:space="preserve">  Time!BD$28</f>
        <v>47</v>
      </c>
      <c r="BE40" s="9">
        <f xml:space="preserve">  Time!BE$28</f>
        <v>48</v>
      </c>
      <c r="BF40" s="9">
        <f xml:space="preserve">  Time!BF$28</f>
        <v>49</v>
      </c>
      <c r="BG40" s="9">
        <f xml:space="preserve">  Time!BG$28</f>
        <v>50</v>
      </c>
      <c r="BH40" s="9">
        <f xml:space="preserve">  Time!BH$28</f>
        <v>51</v>
      </c>
      <c r="BI40" s="9">
        <f xml:space="preserve">  Time!BI$28</f>
        <v>52</v>
      </c>
      <c r="BJ40" s="9">
        <f xml:space="preserve">  Time!BJ$28</f>
        <v>53</v>
      </c>
      <c r="BK40" s="9">
        <f xml:space="preserve">  Time!BK$28</f>
        <v>54</v>
      </c>
      <c r="BL40" s="9">
        <f xml:space="preserve">  Time!BL$28</f>
        <v>55</v>
      </c>
      <c r="BM40" s="9">
        <f xml:space="preserve">  Time!BM$28</f>
        <v>56</v>
      </c>
      <c r="BN40" s="9">
        <f xml:space="preserve">  Time!BN$28</f>
        <v>57</v>
      </c>
      <c r="BO40" s="9">
        <f xml:space="preserve">  Time!BO$28</f>
        <v>58</v>
      </c>
      <c r="BP40" s="9">
        <f xml:space="preserve">  Time!BP$28</f>
        <v>59</v>
      </c>
      <c r="BQ40" s="9">
        <f xml:space="preserve">  Time!BQ$28</f>
        <v>60</v>
      </c>
    </row>
    <row r="41" spans="1:69">
      <c r="E41" s="47" t="s">
        <v>64</v>
      </c>
      <c r="G41" s="47" t="s">
        <v>257</v>
      </c>
      <c r="J41" s="2">
        <f t="shared" ref="J41:BQ41" si="6" xml:space="preserve">  I45</f>
        <v>0</v>
      </c>
      <c r="K41" s="2">
        <f t="shared" ca="1" si="6"/>
        <v>0</v>
      </c>
      <c r="L41" s="2">
        <f t="shared" ca="1" si="6"/>
        <v>0</v>
      </c>
      <c r="M41" s="2">
        <f t="shared" ca="1" si="6"/>
        <v>1008000</v>
      </c>
      <c r="N41" s="2">
        <f t="shared" ca="1" si="6"/>
        <v>1512000</v>
      </c>
      <c r="O41" s="2">
        <f t="shared" ca="1" si="6"/>
        <v>1008000</v>
      </c>
      <c r="P41" s="2">
        <f t="shared" ca="1" si="6"/>
        <v>1008000</v>
      </c>
      <c r="Q41" s="2">
        <f t="shared" ca="1" si="6"/>
        <v>3024000</v>
      </c>
      <c r="R41" s="2">
        <f t="shared" ca="1" si="6"/>
        <v>4032000</v>
      </c>
      <c r="S41" s="2">
        <f t="shared" ca="1" si="6"/>
        <v>2520000</v>
      </c>
      <c r="T41" s="2">
        <f t="shared" ca="1" si="6"/>
        <v>1008000</v>
      </c>
      <c r="U41" s="2">
        <f t="shared" ca="1" si="6"/>
        <v>5040000</v>
      </c>
      <c r="V41" s="2">
        <f t="shared" ca="1" si="6"/>
        <v>5040000</v>
      </c>
      <c r="W41" s="2">
        <f t="shared" ca="1" si="6"/>
        <v>5040000</v>
      </c>
      <c r="X41" s="2">
        <f t="shared" ca="1" si="6"/>
        <v>9221846.997785423</v>
      </c>
      <c r="Y41" s="2">
        <f t="shared" ca="1" si="6"/>
        <v>6048000</v>
      </c>
      <c r="Z41" s="2">
        <f t="shared" ca="1" si="6"/>
        <v>7337406.2915464751</v>
      </c>
      <c r="AA41" s="2">
        <f t="shared" ca="1" si="6"/>
        <v>6048000</v>
      </c>
      <c r="AB41" s="2">
        <f t="shared" ca="1" si="6"/>
        <v>1080746.710668101</v>
      </c>
      <c r="AC41" s="2">
        <f t="shared" ca="1" si="6"/>
        <v>3024000.0000000005</v>
      </c>
      <c r="AD41" s="2">
        <f t="shared" ca="1" si="6"/>
        <v>4032000</v>
      </c>
      <c r="AE41" s="2">
        <f t="shared" ca="1" si="6"/>
        <v>2520000</v>
      </c>
      <c r="AF41" s="2">
        <f t="shared" ca="1" si="6"/>
        <v>3528000</v>
      </c>
      <c r="AG41" s="2">
        <f t="shared" ca="1" si="6"/>
        <v>10080000</v>
      </c>
      <c r="AH41" s="2">
        <f t="shared" ca="1" si="6"/>
        <v>10080000</v>
      </c>
      <c r="AI41" s="2">
        <f t="shared" ca="1" si="6"/>
        <v>12600000</v>
      </c>
      <c r="AJ41" s="2">
        <f t="shared" ca="1" si="6"/>
        <v>16781846.997785427</v>
      </c>
      <c r="AK41" s="2">
        <f t="shared" ca="1" si="6"/>
        <v>12600000</v>
      </c>
      <c r="AL41" s="2">
        <f t="shared" ca="1" si="6"/>
        <v>13385406.291546475</v>
      </c>
      <c r="AM41" s="2">
        <f t="shared" ca="1" si="6"/>
        <v>12600000</v>
      </c>
      <c r="AN41" s="2">
        <f t="shared" ca="1" si="6"/>
        <v>10152746.710668102</v>
      </c>
      <c r="AO41" s="2">
        <f t="shared" ca="1" si="6"/>
        <v>10080000</v>
      </c>
      <c r="AP41" s="2">
        <f t="shared" ca="1" si="6"/>
        <v>10080000</v>
      </c>
      <c r="AQ41" s="2">
        <f t="shared" ca="1" si="6"/>
        <v>12600000</v>
      </c>
      <c r="AR41" s="2">
        <f t="shared" ca="1" si="6"/>
        <v>15120000</v>
      </c>
      <c r="AS41" s="2">
        <f t="shared" ca="1" si="6"/>
        <v>17640000</v>
      </c>
      <c r="AT41" s="2">
        <f t="shared" ca="1" si="6"/>
        <v>20160000</v>
      </c>
      <c r="AU41" s="2">
        <f t="shared" ca="1" si="6"/>
        <v>25200000</v>
      </c>
      <c r="AV41" s="2">
        <f t="shared" ca="1" si="6"/>
        <v>25200000</v>
      </c>
      <c r="AW41" s="2">
        <f t="shared" ca="1" si="6"/>
        <v>25200000</v>
      </c>
      <c r="AX41" s="2">
        <f t="shared" ca="1" si="6"/>
        <v>30240000</v>
      </c>
      <c r="AY41" s="2">
        <f t="shared" ca="1" si="6"/>
        <v>30240000</v>
      </c>
      <c r="AZ41" s="2">
        <f t="shared" ca="1" si="6"/>
        <v>32760000</v>
      </c>
      <c r="BA41" s="2">
        <f t="shared" ca="1" si="6"/>
        <v>35280000</v>
      </c>
      <c r="BB41" s="2">
        <f t="shared" ca="1" si="6"/>
        <v>35280000</v>
      </c>
      <c r="BC41" s="2">
        <f t="shared" ca="1" si="6"/>
        <v>37800000</v>
      </c>
      <c r="BD41" s="2">
        <f t="shared" ca="1" si="6"/>
        <v>40320000</v>
      </c>
      <c r="BE41" s="2">
        <f t="shared" ca="1" si="6"/>
        <v>42840000</v>
      </c>
      <c r="BF41" s="2">
        <f t="shared" ca="1" si="6"/>
        <v>47880000</v>
      </c>
      <c r="BG41" s="2">
        <f t="shared" ca="1" si="6"/>
        <v>52920000</v>
      </c>
      <c r="BH41" s="2">
        <f t="shared" ca="1" si="6"/>
        <v>52920000</v>
      </c>
      <c r="BI41" s="2">
        <f t="shared" ca="1" si="6"/>
        <v>55440000</v>
      </c>
      <c r="BJ41" s="2">
        <f t="shared" ca="1" si="6"/>
        <v>63000000</v>
      </c>
      <c r="BK41" s="2">
        <f t="shared" ca="1" si="6"/>
        <v>65520000</v>
      </c>
      <c r="BL41" s="2">
        <f t="shared" ca="1" si="6"/>
        <v>68040000</v>
      </c>
      <c r="BM41" s="2">
        <f t="shared" ca="1" si="6"/>
        <v>73080000</v>
      </c>
      <c r="BN41" s="2">
        <f t="shared" ca="1" si="6"/>
        <v>75600000</v>
      </c>
      <c r="BO41" s="2">
        <f t="shared" ca="1" si="6"/>
        <v>78120000</v>
      </c>
      <c r="BP41" s="2">
        <f t="shared" ca="1" si="6"/>
        <v>85680000</v>
      </c>
      <c r="BQ41" s="2">
        <f t="shared" ca="1" si="6"/>
        <v>90720000</v>
      </c>
    </row>
    <row r="42" spans="1:69">
      <c r="A42" s="18"/>
      <c r="B42" s="18"/>
      <c r="C42" s="28"/>
      <c r="D42" s="27" t="s">
        <v>220</v>
      </c>
      <c r="E42" s="4" t="str">
        <f xml:space="preserve">  Income!E$12</f>
        <v>New Deferred Income from customer orders</v>
      </c>
      <c r="F42" s="4">
        <f xml:space="preserve">  Income!F$12</f>
        <v>0</v>
      </c>
      <c r="G42" s="4" t="str">
        <f xml:space="preserve">  Income!G$12</f>
        <v>GBP</v>
      </c>
      <c r="H42" s="4">
        <f ca="1" xml:space="preserve">  Income!H$12</f>
        <v>655200000</v>
      </c>
      <c r="I42" s="4">
        <f xml:space="preserve">  Income!I$12</f>
        <v>0</v>
      </c>
      <c r="J42" s="4">
        <f ca="1" xml:space="preserve">  Income!J$12</f>
        <v>0</v>
      </c>
      <c r="K42" s="4">
        <f ca="1" xml:space="preserve">  Income!K$12</f>
        <v>0</v>
      </c>
      <c r="L42" s="4">
        <f ca="1" xml:space="preserve">  Income!L$12</f>
        <v>840000</v>
      </c>
      <c r="M42" s="4">
        <f ca="1" xml:space="preserve">  Income!M$12</f>
        <v>420000</v>
      </c>
      <c r="N42" s="4">
        <f ca="1" xml:space="preserve">  Income!N$12</f>
        <v>420000</v>
      </c>
      <c r="O42" s="4">
        <f ca="1" xml:space="preserve">  Income!O$12</f>
        <v>420000</v>
      </c>
      <c r="P42" s="4">
        <f ca="1" xml:space="preserve">  Income!P$12</f>
        <v>2100000</v>
      </c>
      <c r="Q42" s="4">
        <f ca="1" xml:space="preserve">  Income!Q$12</f>
        <v>1260000</v>
      </c>
      <c r="R42" s="4">
        <f ca="1" xml:space="preserve">  Income!R$12</f>
        <v>840000</v>
      </c>
      <c r="S42" s="4">
        <f ca="1" xml:space="preserve">  Income!S$12</f>
        <v>0</v>
      </c>
      <c r="T42" s="4">
        <f ca="1" xml:space="preserve">  Income!T$12</f>
        <v>4200000</v>
      </c>
      <c r="U42" s="4">
        <f ca="1" xml:space="preserve">  Income!U$12</f>
        <v>0</v>
      </c>
      <c r="V42" s="4">
        <f ca="1" xml:space="preserve">  Income!V$12</f>
        <v>4200000</v>
      </c>
      <c r="W42" s="4">
        <f ca="1" xml:space="preserve">  Income!W$12</f>
        <v>3484872.4981545196</v>
      </c>
      <c r="X42" s="4">
        <f ca="1" xml:space="preserve">  Income!X$12</f>
        <v>1555127.5018454804</v>
      </c>
      <c r="Y42" s="4">
        <f ca="1" xml:space="preserve">  Income!Y$12</f>
        <v>4559377.741109916</v>
      </c>
      <c r="Z42" s="4">
        <f ca="1" xml:space="preserve">  Income!Z$12</f>
        <v>480622.25889008382</v>
      </c>
      <c r="AA42" s="4">
        <f ca="1" xml:space="preserve">  Income!AA$12</f>
        <v>420000</v>
      </c>
      <c r="AB42" s="4">
        <f ca="1" xml:space="preserve">  Income!AB$12</f>
        <v>2100000</v>
      </c>
      <c r="AC42" s="4">
        <f ca="1" xml:space="preserve">  Income!AC$12</f>
        <v>1260000</v>
      </c>
      <c r="AD42" s="4">
        <f ca="1" xml:space="preserve">  Income!AD$12</f>
        <v>840000</v>
      </c>
      <c r="AE42" s="4">
        <f ca="1" xml:space="preserve">  Income!AE$12</f>
        <v>2100000</v>
      </c>
      <c r="AF42" s="4">
        <f ca="1" xml:space="preserve">  Income!AF$12</f>
        <v>6300000</v>
      </c>
      <c r="AG42" s="4">
        <f ca="1" xml:space="preserve">  Income!AG$12</f>
        <v>2100000</v>
      </c>
      <c r="AH42" s="4">
        <f ca="1" xml:space="preserve">  Income!AH$12</f>
        <v>8400000</v>
      </c>
      <c r="AI42" s="4">
        <f ca="1" xml:space="preserve">  Income!AI$12</f>
        <v>5584872.4981545191</v>
      </c>
      <c r="AJ42" s="4">
        <f ca="1" xml:space="preserve">  Income!AJ$12</f>
        <v>4915127.5018454809</v>
      </c>
      <c r="AK42" s="4">
        <f ca="1" xml:space="preserve">  Income!AK$12</f>
        <v>6239377.741109916</v>
      </c>
      <c r="AL42" s="4">
        <f ca="1" xml:space="preserve">  Income!AL$12</f>
        <v>4260622.258890084</v>
      </c>
      <c r="AM42" s="4">
        <f ca="1" xml:space="preserve">  Income!AM$12</f>
        <v>4200000</v>
      </c>
      <c r="AN42" s="4">
        <f ca="1" xml:space="preserve">  Income!AN$12</f>
        <v>4200000</v>
      </c>
      <c r="AO42" s="4">
        <f ca="1" xml:space="preserve">  Income!AO$12</f>
        <v>4200000</v>
      </c>
      <c r="AP42" s="4">
        <f ca="1" xml:space="preserve">  Income!AP$12</f>
        <v>6300000</v>
      </c>
      <c r="AQ42" s="4">
        <f ca="1" xml:space="preserve">  Income!AQ$12</f>
        <v>6300000</v>
      </c>
      <c r="AR42" s="4">
        <f ca="1" xml:space="preserve">  Income!AR$12</f>
        <v>8400000</v>
      </c>
      <c r="AS42" s="4">
        <f ca="1" xml:space="preserve">  Income!AS$12</f>
        <v>8400000</v>
      </c>
      <c r="AT42" s="4">
        <f ca="1" xml:space="preserve">  Income!AT$12</f>
        <v>12600000</v>
      </c>
      <c r="AU42" s="4">
        <f ca="1" xml:space="preserve">  Income!AU$12</f>
        <v>8400000</v>
      </c>
      <c r="AV42" s="4">
        <f ca="1" xml:space="preserve">  Income!AV$12</f>
        <v>12600000</v>
      </c>
      <c r="AW42" s="4">
        <f ca="1" xml:space="preserve">  Income!AW$12</f>
        <v>12600000</v>
      </c>
      <c r="AX42" s="4">
        <f ca="1" xml:space="preserve">  Income!AX$12</f>
        <v>12600000</v>
      </c>
      <c r="AY42" s="4">
        <f ca="1" xml:space="preserve">  Income!AY$12</f>
        <v>14700000</v>
      </c>
      <c r="AZ42" s="4">
        <f ca="1" xml:space="preserve">  Income!AZ$12</f>
        <v>14700000</v>
      </c>
      <c r="BA42" s="4">
        <f ca="1" xml:space="preserve">  Income!BA$12</f>
        <v>14700000</v>
      </c>
      <c r="BB42" s="4">
        <f ca="1" xml:space="preserve">  Income!BB$12</f>
        <v>16800000</v>
      </c>
      <c r="BC42" s="4">
        <f ca="1" xml:space="preserve">  Income!BC$12</f>
        <v>16800000</v>
      </c>
      <c r="BD42" s="4">
        <f ca="1" xml:space="preserve">  Income!BD$12</f>
        <v>18900000</v>
      </c>
      <c r="BE42" s="4">
        <f ca="1" xml:space="preserve">  Income!BE$12</f>
        <v>21000000</v>
      </c>
      <c r="BF42" s="4">
        <f ca="1" xml:space="preserve">  Income!BF$12</f>
        <v>23100000</v>
      </c>
      <c r="BG42" s="4">
        <f ca="1" xml:space="preserve">  Income!BG$12</f>
        <v>21000000</v>
      </c>
      <c r="BH42" s="4">
        <f ca="1" xml:space="preserve">  Income!BH$12</f>
        <v>25200000</v>
      </c>
      <c r="BI42" s="4">
        <f ca="1" xml:space="preserve">  Income!BI$12</f>
        <v>27300000</v>
      </c>
      <c r="BJ42" s="4">
        <f ca="1" xml:space="preserve">  Income!BJ$12</f>
        <v>27300000</v>
      </c>
      <c r="BK42" s="4">
        <f ca="1" xml:space="preserve">  Income!BK$12</f>
        <v>29400000</v>
      </c>
      <c r="BL42" s="4">
        <f ca="1" xml:space="preserve">  Income!BL$12</f>
        <v>31499999.999999996</v>
      </c>
      <c r="BM42" s="4">
        <f ca="1" xml:space="preserve">  Income!BM$12</f>
        <v>31500000.000000004</v>
      </c>
      <c r="BN42" s="4">
        <f ca="1" xml:space="preserve">  Income!BN$12</f>
        <v>33599999.999999993</v>
      </c>
      <c r="BO42" s="4">
        <f ca="1" xml:space="preserve">  Income!BO$12</f>
        <v>37800000</v>
      </c>
      <c r="BP42" s="4">
        <f ca="1" xml:space="preserve">  Income!BP$12</f>
        <v>37800000</v>
      </c>
      <c r="BQ42" s="4">
        <f ca="1" xml:space="preserve">  Income!BQ$12</f>
        <v>42000000</v>
      </c>
    </row>
    <row r="43" spans="1:69">
      <c r="A43" s="18"/>
      <c r="B43" s="18"/>
      <c r="C43" s="28"/>
      <c r="D43" s="27" t="s">
        <v>220</v>
      </c>
      <c r="E43" s="4" t="str">
        <f xml:space="preserve">  VAT!E$17</f>
        <v>Output VAT</v>
      </c>
      <c r="F43" s="4">
        <f xml:space="preserve">  VAT!F$17</f>
        <v>0</v>
      </c>
      <c r="G43" s="4" t="str">
        <f xml:space="preserve">  VAT!G$17</f>
        <v>GBP</v>
      </c>
      <c r="H43" s="4">
        <f ca="1" xml:space="preserve">  VAT!H$17</f>
        <v>131040000</v>
      </c>
      <c r="I43" s="4">
        <f xml:space="preserve">  VAT!I$17</f>
        <v>0</v>
      </c>
      <c r="J43" s="4">
        <f ca="1" xml:space="preserve">  VAT!J$17</f>
        <v>0</v>
      </c>
      <c r="K43" s="4">
        <f ca="1" xml:space="preserve">  VAT!K$17</f>
        <v>0</v>
      </c>
      <c r="L43" s="4">
        <f ca="1" xml:space="preserve">  VAT!L$17</f>
        <v>168000</v>
      </c>
      <c r="M43" s="4">
        <f ca="1" xml:space="preserve">  VAT!M$17</f>
        <v>84000</v>
      </c>
      <c r="N43" s="4">
        <f ca="1" xml:space="preserve">  VAT!N$17</f>
        <v>84000</v>
      </c>
      <c r="O43" s="4">
        <f ca="1" xml:space="preserve">  VAT!O$17</f>
        <v>84000</v>
      </c>
      <c r="P43" s="4">
        <f ca="1" xml:space="preserve">  VAT!P$17</f>
        <v>420000</v>
      </c>
      <c r="Q43" s="4">
        <f ca="1" xml:space="preserve">  VAT!Q$17</f>
        <v>252000</v>
      </c>
      <c r="R43" s="4">
        <f ca="1" xml:space="preserve">  VAT!R$17</f>
        <v>168000</v>
      </c>
      <c r="S43" s="4">
        <f ca="1" xml:space="preserve">  VAT!S$17</f>
        <v>0</v>
      </c>
      <c r="T43" s="4">
        <f ca="1" xml:space="preserve">  VAT!T$17</f>
        <v>840000</v>
      </c>
      <c r="U43" s="4">
        <f ca="1" xml:space="preserve">  VAT!U$17</f>
        <v>0</v>
      </c>
      <c r="V43" s="4">
        <f ca="1" xml:space="preserve">  VAT!V$17</f>
        <v>840000</v>
      </c>
      <c r="W43" s="4">
        <f ca="1" xml:space="preserve">  VAT!W$17</f>
        <v>696974.49963090394</v>
      </c>
      <c r="X43" s="4">
        <f ca="1" xml:space="preserve">  VAT!X$17</f>
        <v>311025.50036909612</v>
      </c>
      <c r="Y43" s="4">
        <f ca="1" xml:space="preserve">  VAT!Y$17</f>
        <v>911875.54822198325</v>
      </c>
      <c r="Z43" s="4">
        <f ca="1" xml:space="preserve">  VAT!Z$17</f>
        <v>96124.451778016766</v>
      </c>
      <c r="AA43" s="4">
        <f ca="1" xml:space="preserve">  VAT!AA$17</f>
        <v>84000</v>
      </c>
      <c r="AB43" s="4">
        <f ca="1" xml:space="preserve">  VAT!AB$17</f>
        <v>420000</v>
      </c>
      <c r="AC43" s="4">
        <f ca="1" xml:space="preserve">  VAT!AC$17</f>
        <v>252000</v>
      </c>
      <c r="AD43" s="4">
        <f ca="1" xml:space="preserve">  VAT!AD$17</f>
        <v>168000</v>
      </c>
      <c r="AE43" s="4">
        <f ca="1" xml:space="preserve">  VAT!AE$17</f>
        <v>420000</v>
      </c>
      <c r="AF43" s="4">
        <f ca="1" xml:space="preserve">  VAT!AF$17</f>
        <v>1260000</v>
      </c>
      <c r="AG43" s="4">
        <f ca="1" xml:space="preserve">  VAT!AG$17</f>
        <v>420000</v>
      </c>
      <c r="AH43" s="4">
        <f ca="1" xml:space="preserve">  VAT!AH$17</f>
        <v>1680000</v>
      </c>
      <c r="AI43" s="4">
        <f ca="1" xml:space="preserve">  VAT!AI$17</f>
        <v>1116974.4996309038</v>
      </c>
      <c r="AJ43" s="4">
        <f ca="1" xml:space="preserve">  VAT!AJ$17</f>
        <v>983025.50036909617</v>
      </c>
      <c r="AK43" s="4">
        <f ca="1" xml:space="preserve">  VAT!AK$17</f>
        <v>1247875.5482219832</v>
      </c>
      <c r="AL43" s="4">
        <f ca="1" xml:space="preserve">  VAT!AL$17</f>
        <v>852124.45177801687</v>
      </c>
      <c r="AM43" s="4">
        <f ca="1" xml:space="preserve">  VAT!AM$17</f>
        <v>840000</v>
      </c>
      <c r="AN43" s="4">
        <f ca="1" xml:space="preserve">  VAT!AN$17</f>
        <v>840000</v>
      </c>
      <c r="AO43" s="4">
        <f ca="1" xml:space="preserve">  VAT!AO$17</f>
        <v>840000</v>
      </c>
      <c r="AP43" s="4">
        <f ca="1" xml:space="preserve">  VAT!AP$17</f>
        <v>1260000</v>
      </c>
      <c r="AQ43" s="4">
        <f ca="1" xml:space="preserve">  VAT!AQ$17</f>
        <v>1260000</v>
      </c>
      <c r="AR43" s="4">
        <f ca="1" xml:space="preserve">  VAT!AR$17</f>
        <v>1680000</v>
      </c>
      <c r="AS43" s="4">
        <f ca="1" xml:space="preserve">  VAT!AS$17</f>
        <v>1680000</v>
      </c>
      <c r="AT43" s="4">
        <f ca="1" xml:space="preserve">  VAT!AT$17</f>
        <v>2520000</v>
      </c>
      <c r="AU43" s="4">
        <f ca="1" xml:space="preserve">  VAT!AU$17</f>
        <v>1680000</v>
      </c>
      <c r="AV43" s="4">
        <f ca="1" xml:space="preserve">  VAT!AV$17</f>
        <v>2520000</v>
      </c>
      <c r="AW43" s="4">
        <f ca="1" xml:space="preserve">  VAT!AW$17</f>
        <v>2520000</v>
      </c>
      <c r="AX43" s="4">
        <f ca="1" xml:space="preserve">  VAT!AX$17</f>
        <v>2520000</v>
      </c>
      <c r="AY43" s="4">
        <f ca="1" xml:space="preserve">  VAT!AY$17</f>
        <v>2940000</v>
      </c>
      <c r="AZ43" s="4">
        <f ca="1" xml:space="preserve">  VAT!AZ$17</f>
        <v>2940000</v>
      </c>
      <c r="BA43" s="4">
        <f ca="1" xml:space="preserve">  VAT!BA$17</f>
        <v>2940000</v>
      </c>
      <c r="BB43" s="4">
        <f ca="1" xml:space="preserve">  VAT!BB$17</f>
        <v>3360000</v>
      </c>
      <c r="BC43" s="4">
        <f ca="1" xml:space="preserve">  VAT!BC$17</f>
        <v>3360000</v>
      </c>
      <c r="BD43" s="4">
        <f ca="1" xml:space="preserve">  VAT!BD$17</f>
        <v>3780000</v>
      </c>
      <c r="BE43" s="4">
        <f ca="1" xml:space="preserve">  VAT!BE$17</f>
        <v>4200000</v>
      </c>
      <c r="BF43" s="4">
        <f ca="1" xml:space="preserve">  VAT!BF$17</f>
        <v>4620000</v>
      </c>
      <c r="BG43" s="4">
        <f ca="1" xml:space="preserve">  VAT!BG$17</f>
        <v>4200000</v>
      </c>
      <c r="BH43" s="4">
        <f ca="1" xml:space="preserve">  VAT!BH$17</f>
        <v>5040000</v>
      </c>
      <c r="BI43" s="4">
        <f ca="1" xml:space="preserve">  VAT!BI$17</f>
        <v>5460000</v>
      </c>
      <c r="BJ43" s="4">
        <f ca="1" xml:space="preserve">  VAT!BJ$17</f>
        <v>5460000</v>
      </c>
      <c r="BK43" s="4">
        <f ca="1" xml:space="preserve">  VAT!BK$17</f>
        <v>5880000</v>
      </c>
      <c r="BL43" s="4">
        <f ca="1" xml:space="preserve">  VAT!BL$17</f>
        <v>6300000</v>
      </c>
      <c r="BM43" s="4">
        <f ca="1" xml:space="preserve">  VAT!BM$17</f>
        <v>6300000.0000000009</v>
      </c>
      <c r="BN43" s="4">
        <f ca="1" xml:space="preserve">  VAT!BN$17</f>
        <v>6719999.9999999991</v>
      </c>
      <c r="BO43" s="4">
        <f ca="1" xml:space="preserve">  VAT!BO$17</f>
        <v>7560000</v>
      </c>
      <c r="BP43" s="4">
        <f ca="1" xml:space="preserve">  VAT!BP$17</f>
        <v>7560000</v>
      </c>
      <c r="BQ43" s="4">
        <f ca="1" xml:space="preserve">  VAT!BQ$17</f>
        <v>8400000</v>
      </c>
    </row>
    <row r="44" spans="1:69">
      <c r="D44" s="94" t="s">
        <v>299</v>
      </c>
      <c r="E44" s="2" t="str">
        <f t="shared" ref="E44:BQ44" si="7" xml:space="preserve">  E$22</f>
        <v>Cash in from Sales</v>
      </c>
      <c r="F44" s="2">
        <f t="shared" si="7"/>
        <v>0</v>
      </c>
      <c r="G44" s="2" t="str">
        <f t="shared" si="7"/>
        <v>GBP</v>
      </c>
      <c r="H44" s="2">
        <f t="shared" ca="1" si="7"/>
        <v>690480000</v>
      </c>
      <c r="I44" s="2">
        <f t="shared" si="7"/>
        <v>0</v>
      </c>
      <c r="J44" s="2">
        <f t="shared" ca="1" si="7"/>
        <v>0</v>
      </c>
      <c r="K44" s="2">
        <f t="shared" ca="1" si="7"/>
        <v>0</v>
      </c>
      <c r="L44" s="2">
        <f t="shared" ca="1" si="7"/>
        <v>0</v>
      </c>
      <c r="M44" s="2">
        <f t="shared" ca="1" si="7"/>
        <v>0</v>
      </c>
      <c r="N44" s="2">
        <f t="shared" ca="1" si="7"/>
        <v>1008000</v>
      </c>
      <c r="O44" s="2">
        <f t="shared" ca="1" si="7"/>
        <v>504000</v>
      </c>
      <c r="P44" s="2">
        <f t="shared" ca="1" si="7"/>
        <v>504000</v>
      </c>
      <c r="Q44" s="2">
        <f t="shared" ca="1" si="7"/>
        <v>504000</v>
      </c>
      <c r="R44" s="2">
        <f t="shared" ca="1" si="7"/>
        <v>2520000</v>
      </c>
      <c r="S44" s="2">
        <f t="shared" ca="1" si="7"/>
        <v>1512000</v>
      </c>
      <c r="T44" s="2">
        <f t="shared" ca="1" si="7"/>
        <v>1008000</v>
      </c>
      <c r="U44" s="2">
        <f t="shared" ca="1" si="7"/>
        <v>0</v>
      </c>
      <c r="V44" s="2">
        <f t="shared" ca="1" si="7"/>
        <v>5040000</v>
      </c>
      <c r="W44" s="2">
        <f t="shared" ca="1" si="7"/>
        <v>0</v>
      </c>
      <c r="X44" s="2">
        <f t="shared" ca="1" si="7"/>
        <v>5040000</v>
      </c>
      <c r="Y44" s="2">
        <f t="shared" ca="1" si="7"/>
        <v>4181846.9977854234</v>
      </c>
      <c r="Z44" s="2">
        <f t="shared" ca="1" si="7"/>
        <v>1866153.0022145766</v>
      </c>
      <c r="AA44" s="2">
        <f t="shared" ca="1" si="7"/>
        <v>5471253.289331899</v>
      </c>
      <c r="AB44" s="2">
        <f t="shared" ca="1" si="7"/>
        <v>576746.71066810063</v>
      </c>
      <c r="AC44" s="2">
        <f t="shared" ca="1" si="7"/>
        <v>504000</v>
      </c>
      <c r="AD44" s="2">
        <f t="shared" ca="1" si="7"/>
        <v>2520000</v>
      </c>
      <c r="AE44" s="2">
        <f t="shared" ca="1" si="7"/>
        <v>1512000</v>
      </c>
      <c r="AF44" s="2">
        <f t="shared" ca="1" si="7"/>
        <v>1008000</v>
      </c>
      <c r="AG44" s="2">
        <f t="shared" ca="1" si="7"/>
        <v>2520000</v>
      </c>
      <c r="AH44" s="2">
        <f t="shared" ca="1" si="7"/>
        <v>7560000</v>
      </c>
      <c r="AI44" s="2">
        <f t="shared" ca="1" si="7"/>
        <v>2520000</v>
      </c>
      <c r="AJ44" s="2">
        <f t="shared" ca="1" si="7"/>
        <v>10080000</v>
      </c>
      <c r="AK44" s="2">
        <f t="shared" ca="1" si="7"/>
        <v>6701846.997785423</v>
      </c>
      <c r="AL44" s="2">
        <f t="shared" ca="1" si="7"/>
        <v>5898153.002214577</v>
      </c>
      <c r="AM44" s="2">
        <f t="shared" ca="1" si="7"/>
        <v>7487253.289331899</v>
      </c>
      <c r="AN44" s="2">
        <f t="shared" ca="1" si="7"/>
        <v>5112746.710668101</v>
      </c>
      <c r="AO44" s="2">
        <f t="shared" ca="1" si="7"/>
        <v>5040000</v>
      </c>
      <c r="AP44" s="2">
        <f t="shared" ca="1" si="7"/>
        <v>5040000</v>
      </c>
      <c r="AQ44" s="2">
        <f t="shared" ca="1" si="7"/>
        <v>5040000</v>
      </c>
      <c r="AR44" s="2">
        <f t="shared" ca="1" si="7"/>
        <v>7560000</v>
      </c>
      <c r="AS44" s="2">
        <f t="shared" ca="1" si="7"/>
        <v>7560000</v>
      </c>
      <c r="AT44" s="2">
        <f t="shared" ca="1" si="7"/>
        <v>10080000</v>
      </c>
      <c r="AU44" s="2">
        <f t="shared" ca="1" si="7"/>
        <v>10080000</v>
      </c>
      <c r="AV44" s="2">
        <f t="shared" ca="1" si="7"/>
        <v>15120000</v>
      </c>
      <c r="AW44" s="2">
        <f t="shared" ca="1" si="7"/>
        <v>10080000</v>
      </c>
      <c r="AX44" s="2">
        <f t="shared" ca="1" si="7"/>
        <v>15120000</v>
      </c>
      <c r="AY44" s="2">
        <f t="shared" ca="1" si="7"/>
        <v>15120000</v>
      </c>
      <c r="AZ44" s="2">
        <f t="shared" ca="1" si="7"/>
        <v>15120000</v>
      </c>
      <c r="BA44" s="2">
        <f t="shared" ca="1" si="7"/>
        <v>17640000</v>
      </c>
      <c r="BB44" s="2">
        <f t="shared" ca="1" si="7"/>
        <v>17640000</v>
      </c>
      <c r="BC44" s="2">
        <f t="shared" ca="1" si="7"/>
        <v>17640000</v>
      </c>
      <c r="BD44" s="2">
        <f t="shared" ca="1" si="7"/>
        <v>20160000</v>
      </c>
      <c r="BE44" s="2">
        <f t="shared" ca="1" si="7"/>
        <v>20160000</v>
      </c>
      <c r="BF44" s="2">
        <f t="shared" ca="1" si="7"/>
        <v>22680000</v>
      </c>
      <c r="BG44" s="2">
        <f t="shared" ca="1" si="7"/>
        <v>25200000</v>
      </c>
      <c r="BH44" s="2">
        <f t="shared" ca="1" si="7"/>
        <v>27720000</v>
      </c>
      <c r="BI44" s="2">
        <f t="shared" ca="1" si="7"/>
        <v>25200000</v>
      </c>
      <c r="BJ44" s="2">
        <f t="shared" ca="1" si="7"/>
        <v>30240000</v>
      </c>
      <c r="BK44" s="2">
        <f t="shared" ca="1" si="7"/>
        <v>32760000</v>
      </c>
      <c r="BL44" s="2">
        <f t="shared" ca="1" si="7"/>
        <v>32760000</v>
      </c>
      <c r="BM44" s="2">
        <f t="shared" ca="1" si="7"/>
        <v>35280000</v>
      </c>
      <c r="BN44" s="2">
        <f t="shared" ca="1" si="7"/>
        <v>37800000</v>
      </c>
      <c r="BO44" s="2">
        <f t="shared" ca="1" si="7"/>
        <v>37800000.000000007</v>
      </c>
      <c r="BP44" s="2">
        <f t="shared" ca="1" si="7"/>
        <v>40319999.999999993</v>
      </c>
      <c r="BQ44" s="2">
        <f t="shared" ca="1" si="7"/>
        <v>45360000</v>
      </c>
    </row>
    <row r="45" spans="1:69" s="86" customFormat="1">
      <c r="A45" s="63"/>
      <c r="B45" s="63"/>
      <c r="C45" s="89"/>
      <c r="D45" s="91"/>
      <c r="E45" s="33" t="s">
        <v>302</v>
      </c>
      <c r="F45" s="33"/>
      <c r="G45" s="33" t="s">
        <v>257</v>
      </c>
      <c r="H45" s="33"/>
      <c r="I45" s="11">
        <f t="shared" ref="I45:BQ45" si="8" xml:space="preserve">  IF( I40 = 0, $F39, I41 + I42 + I43 - I44 )</f>
        <v>0</v>
      </c>
      <c r="J45" s="11">
        <f t="shared" ca="1" si="8"/>
        <v>0</v>
      </c>
      <c r="K45" s="11">
        <f t="shared" ca="1" si="8"/>
        <v>0</v>
      </c>
      <c r="L45" s="11">
        <f t="shared" ca="1" si="8"/>
        <v>1008000</v>
      </c>
      <c r="M45" s="11">
        <f t="shared" ca="1" si="8"/>
        <v>1512000</v>
      </c>
      <c r="N45" s="11">
        <f t="shared" ca="1" si="8"/>
        <v>1008000</v>
      </c>
      <c r="O45" s="11">
        <f t="shared" ca="1" si="8"/>
        <v>1008000</v>
      </c>
      <c r="P45" s="11">
        <f t="shared" ca="1" si="8"/>
        <v>3024000</v>
      </c>
      <c r="Q45" s="11">
        <f t="shared" ca="1" si="8"/>
        <v>4032000</v>
      </c>
      <c r="R45" s="11">
        <f t="shared" ca="1" si="8"/>
        <v>2520000</v>
      </c>
      <c r="S45" s="11">
        <f t="shared" ca="1" si="8"/>
        <v>1008000</v>
      </c>
      <c r="T45" s="11">
        <f t="shared" ca="1" si="8"/>
        <v>5040000</v>
      </c>
      <c r="U45" s="11">
        <f t="shared" ca="1" si="8"/>
        <v>5040000</v>
      </c>
      <c r="V45" s="11">
        <f t="shared" ca="1" si="8"/>
        <v>5040000</v>
      </c>
      <c r="W45" s="11">
        <f t="shared" ca="1" si="8"/>
        <v>9221846.997785423</v>
      </c>
      <c r="X45" s="11">
        <f t="shared" ca="1" si="8"/>
        <v>6048000</v>
      </c>
      <c r="Y45" s="11">
        <f t="shared" ca="1" si="8"/>
        <v>7337406.2915464751</v>
      </c>
      <c r="Z45" s="11">
        <f t="shared" ca="1" si="8"/>
        <v>6048000</v>
      </c>
      <c r="AA45" s="11">
        <f t="shared" ca="1" si="8"/>
        <v>1080746.710668101</v>
      </c>
      <c r="AB45" s="11">
        <f t="shared" ca="1" si="8"/>
        <v>3024000.0000000005</v>
      </c>
      <c r="AC45" s="11">
        <f t="shared" ca="1" si="8"/>
        <v>4032000</v>
      </c>
      <c r="AD45" s="11">
        <f t="shared" ca="1" si="8"/>
        <v>2520000</v>
      </c>
      <c r="AE45" s="11">
        <f t="shared" ca="1" si="8"/>
        <v>3528000</v>
      </c>
      <c r="AF45" s="11">
        <f t="shared" ca="1" si="8"/>
        <v>10080000</v>
      </c>
      <c r="AG45" s="11">
        <f t="shared" ca="1" si="8"/>
        <v>10080000</v>
      </c>
      <c r="AH45" s="11">
        <f t="shared" ca="1" si="8"/>
        <v>12600000</v>
      </c>
      <c r="AI45" s="11">
        <f t="shared" ca="1" si="8"/>
        <v>16781846.997785427</v>
      </c>
      <c r="AJ45" s="11">
        <f t="shared" ca="1" si="8"/>
        <v>12600000</v>
      </c>
      <c r="AK45" s="11">
        <f t="shared" ca="1" si="8"/>
        <v>13385406.291546475</v>
      </c>
      <c r="AL45" s="11">
        <f t="shared" ca="1" si="8"/>
        <v>12600000</v>
      </c>
      <c r="AM45" s="11">
        <f t="shared" ca="1" si="8"/>
        <v>10152746.710668102</v>
      </c>
      <c r="AN45" s="11">
        <f t="shared" ca="1" si="8"/>
        <v>10080000</v>
      </c>
      <c r="AO45" s="11">
        <f t="shared" ca="1" si="8"/>
        <v>10080000</v>
      </c>
      <c r="AP45" s="11">
        <f t="shared" ca="1" si="8"/>
        <v>12600000</v>
      </c>
      <c r="AQ45" s="11">
        <f t="shared" ca="1" si="8"/>
        <v>15120000</v>
      </c>
      <c r="AR45" s="11">
        <f t="shared" ca="1" si="8"/>
        <v>17640000</v>
      </c>
      <c r="AS45" s="11">
        <f t="shared" ca="1" si="8"/>
        <v>20160000</v>
      </c>
      <c r="AT45" s="11">
        <f t="shared" ca="1" si="8"/>
        <v>25200000</v>
      </c>
      <c r="AU45" s="11">
        <f t="shared" ca="1" si="8"/>
        <v>25200000</v>
      </c>
      <c r="AV45" s="11">
        <f t="shared" ca="1" si="8"/>
        <v>25200000</v>
      </c>
      <c r="AW45" s="11">
        <f t="shared" ca="1" si="8"/>
        <v>30240000</v>
      </c>
      <c r="AX45" s="11">
        <f t="shared" ca="1" si="8"/>
        <v>30240000</v>
      </c>
      <c r="AY45" s="11">
        <f t="shared" ca="1" si="8"/>
        <v>32760000</v>
      </c>
      <c r="AZ45" s="11">
        <f t="shared" ca="1" si="8"/>
        <v>35280000</v>
      </c>
      <c r="BA45" s="11">
        <f t="shared" ca="1" si="8"/>
        <v>35280000</v>
      </c>
      <c r="BB45" s="11">
        <f t="shared" ca="1" si="8"/>
        <v>37800000</v>
      </c>
      <c r="BC45" s="11">
        <f t="shared" ca="1" si="8"/>
        <v>40320000</v>
      </c>
      <c r="BD45" s="11">
        <f t="shared" ca="1" si="8"/>
        <v>42840000</v>
      </c>
      <c r="BE45" s="11">
        <f t="shared" ca="1" si="8"/>
        <v>47880000</v>
      </c>
      <c r="BF45" s="11">
        <f t="shared" ca="1" si="8"/>
        <v>52920000</v>
      </c>
      <c r="BG45" s="11">
        <f t="shared" ca="1" si="8"/>
        <v>52920000</v>
      </c>
      <c r="BH45" s="11">
        <f t="shared" ca="1" si="8"/>
        <v>55440000</v>
      </c>
      <c r="BI45" s="11">
        <f t="shared" ca="1" si="8"/>
        <v>63000000</v>
      </c>
      <c r="BJ45" s="11">
        <f t="shared" ca="1" si="8"/>
        <v>65520000</v>
      </c>
      <c r="BK45" s="11">
        <f t="shared" ca="1" si="8"/>
        <v>68040000</v>
      </c>
      <c r="BL45" s="11">
        <f t="shared" ca="1" si="8"/>
        <v>73080000</v>
      </c>
      <c r="BM45" s="11">
        <f t="shared" ca="1" si="8"/>
        <v>75600000</v>
      </c>
      <c r="BN45" s="11">
        <f t="shared" ca="1" si="8"/>
        <v>78120000</v>
      </c>
      <c r="BO45" s="11">
        <f t="shared" ca="1" si="8"/>
        <v>85680000</v>
      </c>
      <c r="BP45" s="11">
        <f t="shared" ca="1" si="8"/>
        <v>90720000</v>
      </c>
      <c r="BQ45" s="11">
        <f t="shared" ca="1" si="8"/>
        <v>95760000</v>
      </c>
    </row>
    <row r="47" spans="1:69">
      <c r="B47" s="25" t="s">
        <v>110</v>
      </c>
    </row>
    <row r="48" spans="1:69" outlineLevel="1">
      <c r="A48" s="18"/>
      <c r="B48" s="18"/>
      <c r="C48" s="28"/>
      <c r="D48" s="27"/>
      <c r="E48" s="4" t="str">
        <f xml:space="preserve">  Expense!E$19</f>
        <v>Fixed operating expense POS</v>
      </c>
      <c r="F48" s="4">
        <f xml:space="preserve">  Expense!F$19</f>
        <v>0</v>
      </c>
      <c r="G48" s="4" t="str">
        <f xml:space="preserve">  Expense!G$19</f>
        <v>GBP</v>
      </c>
      <c r="H48" s="4">
        <f xml:space="preserve">  Expense!H$19</f>
        <v>1899484.1637263105</v>
      </c>
      <c r="I48" s="4">
        <f xml:space="preserve">  Expense!I$19</f>
        <v>0</v>
      </c>
      <c r="J48" s="4">
        <f xml:space="preserve">  Expense!J$19</f>
        <v>25000</v>
      </c>
      <c r="K48" s="4">
        <f xml:space="preserve">  Expense!K$19</f>
        <v>25000</v>
      </c>
      <c r="L48" s="4">
        <f xml:space="preserve">  Expense!L$19</f>
        <v>25000</v>
      </c>
      <c r="M48" s="4">
        <f xml:space="preserve">  Expense!M$19</f>
        <v>25607.856851345517</v>
      </c>
      <c r="N48" s="4">
        <f xml:space="preserve">  Expense!N$19</f>
        <v>25607.856851345517</v>
      </c>
      <c r="O48" s="4">
        <f xml:space="preserve">  Expense!O$19</f>
        <v>25607.856851345517</v>
      </c>
      <c r="P48" s="4">
        <f xml:space="preserve">  Expense!P$19</f>
        <v>26230.493300760143</v>
      </c>
      <c r="Q48" s="4">
        <f xml:space="preserve">  Expense!Q$19</f>
        <v>26230.493300760143</v>
      </c>
      <c r="R48" s="4">
        <f xml:space="preserve">  Expense!R$19</f>
        <v>26230.493300760143</v>
      </c>
      <c r="S48" s="4">
        <f xml:space="preserve">  Expense!S$19</f>
        <v>26868.268703441732</v>
      </c>
      <c r="T48" s="4">
        <f xml:space="preserve">  Expense!T$19</f>
        <v>26868.268703441732</v>
      </c>
      <c r="U48" s="4">
        <f xml:space="preserve">  Expense!U$19</f>
        <v>26868.268703441732</v>
      </c>
      <c r="V48" s="4">
        <f xml:space="preserve">  Expense!V$19</f>
        <v>27500.000000000004</v>
      </c>
      <c r="W48" s="4">
        <f xml:space="preserve">  Expense!W$19</f>
        <v>27500.000000000004</v>
      </c>
      <c r="X48" s="4">
        <f xml:space="preserve">  Expense!X$19</f>
        <v>27500.000000000004</v>
      </c>
      <c r="Y48" s="4">
        <f xml:space="preserve">  Expense!Y$19</f>
        <v>28171.389663808775</v>
      </c>
      <c r="Z48" s="4">
        <f xml:space="preserve">  Expense!Z$19</f>
        <v>28171.389663808775</v>
      </c>
      <c r="AA48" s="4">
        <f xml:space="preserve">  Expense!AA$19</f>
        <v>28171.389663808775</v>
      </c>
      <c r="AB48" s="4">
        <f xml:space="preserve">  Expense!AB$19</f>
        <v>28855.408240598044</v>
      </c>
      <c r="AC48" s="4">
        <f xml:space="preserve">  Expense!AC$19</f>
        <v>28855.408240598044</v>
      </c>
      <c r="AD48" s="4">
        <f xml:space="preserve">  Expense!AD$19</f>
        <v>28855.408240598044</v>
      </c>
      <c r="AE48" s="4">
        <f xml:space="preserve">  Expense!AE$19</f>
        <v>29558.292610174307</v>
      </c>
      <c r="AF48" s="4">
        <f xml:space="preserve">  Expense!AF$19</f>
        <v>29558.292610174307</v>
      </c>
      <c r="AG48" s="4">
        <f xml:space="preserve">  Expense!AG$19</f>
        <v>29558.292610174307</v>
      </c>
      <c r="AH48" s="4">
        <f xml:space="preserve">  Expense!AH$19</f>
        <v>30252.630710131383</v>
      </c>
      <c r="AI48" s="4">
        <f xml:space="preserve">  Expense!AI$19</f>
        <v>30252.630710131383</v>
      </c>
      <c r="AJ48" s="4">
        <f xml:space="preserve">  Expense!AJ$19</f>
        <v>30252.630710131383</v>
      </c>
      <c r="AK48" s="4">
        <f xml:space="preserve">  Expense!AK$19</f>
        <v>30987.522236491855</v>
      </c>
      <c r="AL48" s="4">
        <f xml:space="preserve">  Expense!AL$19</f>
        <v>30987.522236491855</v>
      </c>
      <c r="AM48" s="4">
        <f xml:space="preserve">  Expense!AM$19</f>
        <v>30987.522236491855</v>
      </c>
      <c r="AN48" s="4">
        <f xml:space="preserve">  Expense!AN$19</f>
        <v>31740.265617148605</v>
      </c>
      <c r="AO48" s="4">
        <f xml:space="preserve">  Expense!AO$19</f>
        <v>31740.265617148605</v>
      </c>
      <c r="AP48" s="4">
        <f xml:space="preserve">  Expense!AP$19</f>
        <v>31740.265617148605</v>
      </c>
      <c r="AQ48" s="4">
        <f xml:space="preserve">  Expense!AQ$19</f>
        <v>32513.243252308428</v>
      </c>
      <c r="AR48" s="4">
        <f xml:space="preserve">  Expense!AR$19</f>
        <v>32513.243252308428</v>
      </c>
      <c r="AS48" s="4">
        <f xml:space="preserve">  Expense!AS$19</f>
        <v>32513.243252308428</v>
      </c>
      <c r="AT48" s="4">
        <f xml:space="preserve">  Expense!AT$19</f>
        <v>33277.170807448252</v>
      </c>
      <c r="AU48" s="4">
        <f xml:space="preserve">  Expense!AU$19</f>
        <v>33277.170807448252</v>
      </c>
      <c r="AV48" s="4">
        <f xml:space="preserve">  Expense!AV$19</f>
        <v>33277.170807448252</v>
      </c>
      <c r="AW48" s="4">
        <f xml:space="preserve">  Expense!AW$19</f>
        <v>34085.720578240354</v>
      </c>
      <c r="AX48" s="4">
        <f xml:space="preserve">  Expense!AX$19</f>
        <v>34085.720578240354</v>
      </c>
      <c r="AY48" s="4">
        <f xml:space="preserve">  Expense!AY$19</f>
        <v>34085.720578240354</v>
      </c>
      <c r="AZ48" s="4">
        <f xml:space="preserve">  Expense!AZ$19</f>
        <v>34913.916031522422</v>
      </c>
      <c r="BA48" s="4">
        <f xml:space="preserve">  Expense!BA$19</f>
        <v>34913.916031522422</v>
      </c>
      <c r="BB48" s="4">
        <f xml:space="preserve">  Expense!BB$19</f>
        <v>34913.916031522422</v>
      </c>
      <c r="BC48" s="4">
        <f xml:space="preserve">  Expense!BC$19</f>
        <v>35763.987489903346</v>
      </c>
      <c r="BD48" s="4">
        <f xml:space="preserve">  Expense!BD$19</f>
        <v>35763.987489903346</v>
      </c>
      <c r="BE48" s="4">
        <f xml:space="preserve">  Expense!BE$19</f>
        <v>35763.987489903346</v>
      </c>
      <c r="BF48" s="4">
        <f xml:space="preserve">  Expense!BF$19</f>
        <v>36604.410559640419</v>
      </c>
      <c r="BG48" s="4">
        <f xml:space="preserve">  Expense!BG$19</f>
        <v>36604.410559640419</v>
      </c>
      <c r="BH48" s="4">
        <f xml:space="preserve">  Expense!BH$19</f>
        <v>36604.410559640419</v>
      </c>
      <c r="BI48" s="4">
        <f xml:space="preserve">  Expense!BI$19</f>
        <v>37493.926945298947</v>
      </c>
      <c r="BJ48" s="4">
        <f xml:space="preserve">  Expense!BJ$19</f>
        <v>37493.926945298947</v>
      </c>
      <c r="BK48" s="4">
        <f xml:space="preserve">  Expense!BK$19</f>
        <v>37493.926945298947</v>
      </c>
      <c r="BL48" s="4">
        <f xml:space="preserve">  Expense!BL$19</f>
        <v>38405.059288932411</v>
      </c>
      <c r="BM48" s="4">
        <f xml:space="preserve">  Expense!BM$19</f>
        <v>38405.059288932411</v>
      </c>
      <c r="BN48" s="4">
        <f xml:space="preserve">  Expense!BN$19</f>
        <v>38405.059288932411</v>
      </c>
      <c r="BO48" s="4">
        <f xml:space="preserve">  Expense!BO$19</f>
        <v>39331.82502157487</v>
      </c>
      <c r="BP48" s="4">
        <f xml:space="preserve">  Expense!BP$19</f>
        <v>39331.82502157487</v>
      </c>
      <c r="BQ48" s="4">
        <f xml:space="preserve">  Expense!BQ$19</f>
        <v>39331.82502157487</v>
      </c>
    </row>
    <row r="49" spans="1:69" outlineLevel="1">
      <c r="A49" s="18"/>
      <c r="B49" s="18"/>
      <c r="C49" s="28"/>
      <c r="D49" s="27"/>
      <c r="E49" s="4" t="str">
        <f xml:space="preserve">  Expense!E$26</f>
        <v>Variable Operating expense POS</v>
      </c>
      <c r="F49" s="4">
        <f xml:space="preserve">  Expense!F$26</f>
        <v>0</v>
      </c>
      <c r="G49" s="4" t="str">
        <f xml:space="preserve">  Expense!G$26</f>
        <v>GBP</v>
      </c>
      <c r="H49" s="4">
        <f ca="1" xml:space="preserve">  Expense!H$26</f>
        <v>69258760.470558211</v>
      </c>
      <c r="I49" s="4">
        <f xml:space="preserve">  Expense!I$26</f>
        <v>0</v>
      </c>
      <c r="J49" s="4">
        <f ca="1" xml:space="preserve">  Expense!J$26</f>
        <v>42000</v>
      </c>
      <c r="K49" s="4">
        <f ca="1" xml:space="preserve">  Expense!K$26</f>
        <v>42000</v>
      </c>
      <c r="L49" s="4">
        <f ca="1" xml:space="preserve">  Expense!L$26</f>
        <v>42000</v>
      </c>
      <c r="M49" s="4">
        <f ca="1" xml:space="preserve">  Expense!M$26</f>
        <v>42000</v>
      </c>
      <c r="N49" s="4">
        <f ca="1" xml:space="preserve">  Expense!N$26</f>
        <v>126000</v>
      </c>
      <c r="O49" s="4">
        <f ca="1" xml:space="preserve">  Expense!O$26</f>
        <v>126000</v>
      </c>
      <c r="P49" s="4">
        <f ca="1" xml:space="preserve">  Expense!P$26</f>
        <v>126000</v>
      </c>
      <c r="Q49" s="4">
        <f ca="1" xml:space="preserve">  Expense!Q$26</f>
        <v>210000</v>
      </c>
      <c r="R49" s="4">
        <f ca="1" xml:space="preserve">  Expense!R$26</f>
        <v>210000</v>
      </c>
      <c r="S49" s="4">
        <f ca="1" xml:space="preserve">  Expense!S$26</f>
        <v>210000</v>
      </c>
      <c r="T49" s="4">
        <f ca="1" xml:space="preserve">  Expense!T$26</f>
        <v>210000</v>
      </c>
      <c r="U49" s="4">
        <f ca="1" xml:space="preserve">  Expense!U$26</f>
        <v>210000</v>
      </c>
      <c r="V49" s="4">
        <f ca="1" xml:space="preserve">  Expense!V$26</f>
        <v>222487.24981545203</v>
      </c>
      <c r="W49" s="4">
        <f ca="1" xml:space="preserve">  Expense!W$26</f>
        <v>235717.0301449683</v>
      </c>
      <c r="X49" s="4">
        <f ca="1" xml:space="preserve">  Expense!X$26</f>
        <v>249733.49415057144</v>
      </c>
      <c r="Y49" s="4">
        <f ca="1" xml:space="preserve">  Expense!Y$26</f>
        <v>264583.42047792341</v>
      </c>
      <c r="Z49" s="4">
        <f ca="1" xml:space="preserve">  Expense!Z$26</f>
        <v>280316.36937570723</v>
      </c>
      <c r="AA49" s="4">
        <f ca="1" xml:space="preserve">  Expense!AA$26</f>
        <v>296984.84809834993</v>
      </c>
      <c r="AB49" s="4">
        <f ca="1" xml:space="preserve">  Expense!AB$26</f>
        <v>314644.48614410311</v>
      </c>
      <c r="AC49" s="4">
        <f ca="1" xml:space="preserve">  Expense!AC$26</f>
        <v>333354.22091332194</v>
      </c>
      <c r="AD49" s="4">
        <f ca="1" xml:space="preserve">  Expense!AD$26</f>
        <v>353176.4944065602</v>
      </c>
      <c r="AE49" s="4">
        <f ca="1" xml:space="preserve">  Expense!AE$26</f>
        <v>374177.46161894262</v>
      </c>
      <c r="AF49" s="4">
        <f ca="1" xml:space="preserve">  Expense!AF$26</f>
        <v>396427.21132631134</v>
      </c>
      <c r="AG49" s="4">
        <f ca="1" xml:space="preserve">  Expense!AG$26</f>
        <v>420000.00000000012</v>
      </c>
      <c r="AH49" s="4">
        <f ca="1" xml:space="preserve">  Expense!AH$26</f>
        <v>482774.49963090406</v>
      </c>
      <c r="AI49" s="4">
        <f ca="1" xml:space="preserve">  Expense!AI$26</f>
        <v>509234.06028993672</v>
      </c>
      <c r="AJ49" s="4">
        <f ca="1" xml:space="preserve">  Expense!AJ$26</f>
        <v>537266.98830114293</v>
      </c>
      <c r="AK49" s="4">
        <f ca="1" xml:space="preserve">  Expense!AK$26</f>
        <v>566966.84095584694</v>
      </c>
      <c r="AL49" s="4">
        <f ca="1" xml:space="preserve">  Expense!AL$26</f>
        <v>674032.73875141481</v>
      </c>
      <c r="AM49" s="4">
        <f ca="1" xml:space="preserve">  Expense!AM$26</f>
        <v>707369.69619670033</v>
      </c>
      <c r="AN49" s="4">
        <f ca="1" xml:space="preserve">  Expense!AN$26</f>
        <v>742688.9722882068</v>
      </c>
      <c r="AO49" s="4">
        <f ca="1" xml:space="preserve">  Expense!AO$26</f>
        <v>855708.44182664424</v>
      </c>
      <c r="AP49" s="4">
        <f ca="1" xml:space="preserve">  Expense!AP$26</f>
        <v>895352.98881312052</v>
      </c>
      <c r="AQ49" s="4">
        <f ca="1" xml:space="preserve">  Expense!AQ$26</f>
        <v>937354.92323788558</v>
      </c>
      <c r="AR49" s="4">
        <f ca="1" xml:space="preserve">  Expense!AR$26</f>
        <v>981854.42265262292</v>
      </c>
      <c r="AS49" s="4">
        <f ca="1" xml:space="preserve">  Expense!AS$26</f>
        <v>1029000.0000000005</v>
      </c>
      <c r="AT49" s="4">
        <f ca="1" xml:space="preserve">  Expense!AT$26</f>
        <v>1090187.5240957155</v>
      </c>
      <c r="AU49" s="4">
        <f ca="1" xml:space="preserve">  Expense!AU$26</f>
        <v>1155013.4477103457</v>
      </c>
      <c r="AV49" s="4">
        <f ca="1" xml:space="preserve">  Expense!AV$26</f>
        <v>1223694.121337801</v>
      </c>
      <c r="AW49" s="4">
        <f ca="1" xml:space="preserve">  Expense!AW$26</f>
        <v>1296458.7603418257</v>
      </c>
      <c r="AX49" s="4">
        <f ca="1" xml:space="preserve">  Expense!AX$26</f>
        <v>1373550.2099409667</v>
      </c>
      <c r="AY49" s="4">
        <f ca="1" xml:space="preserve">  Expense!AY$26</f>
        <v>1455225.7556819161</v>
      </c>
      <c r="AZ49" s="4">
        <f ca="1" xml:space="preserve">  Expense!AZ$26</f>
        <v>1541757.9821061066</v>
      </c>
      <c r="BA49" s="4">
        <f ca="1" xml:space="preserve">  Expense!BA$26</f>
        <v>1633435.6824752789</v>
      </c>
      <c r="BB49" s="4">
        <f ca="1" xml:space="preserve">  Expense!BB$26</f>
        <v>1730564.822592146</v>
      </c>
      <c r="BC49" s="4">
        <f ca="1" xml:space="preserve">  Expense!BC$26</f>
        <v>1833469.5619328201</v>
      </c>
      <c r="BD49" s="4">
        <f ca="1" xml:space="preserve">  Expense!BD$26</f>
        <v>1942493.3354989272</v>
      </c>
      <c r="BE49" s="4">
        <f ca="1" xml:space="preserve">  Expense!BE$26</f>
        <v>2058000.0000000023</v>
      </c>
      <c r="BF49" s="4">
        <f ca="1" xml:space="preserve">  Expense!BF$26</f>
        <v>2180375.0481914324</v>
      </c>
      <c r="BG49" s="4">
        <f ca="1" xml:space="preserve">  Expense!BG$26</f>
        <v>2310026.8954206924</v>
      </c>
      <c r="BH49" s="4">
        <f ca="1" xml:space="preserve">  Expense!BH$26</f>
        <v>2447388.2426756029</v>
      </c>
      <c r="BI49" s="4">
        <f ca="1" xml:space="preserve">  Expense!BI$26</f>
        <v>2592917.5206836523</v>
      </c>
      <c r="BJ49" s="4">
        <f ca="1" xml:space="preserve">  Expense!BJ$26</f>
        <v>2747100.4198819343</v>
      </c>
      <c r="BK49" s="4">
        <f ca="1" xml:space="preserve">  Expense!BK$26</f>
        <v>2910451.5113638337</v>
      </c>
      <c r="BL49" s="4">
        <f ca="1" xml:space="preserve">  Expense!BL$26</f>
        <v>3083515.9642122155</v>
      </c>
      <c r="BM49" s="4">
        <f ca="1" xml:space="preserve">  Expense!BM$26</f>
        <v>3266871.36495056</v>
      </c>
      <c r="BN49" s="4">
        <f ca="1" xml:space="preserve">  Expense!BN$26</f>
        <v>3461129.6451842943</v>
      </c>
      <c r="BO49" s="4">
        <f ca="1" xml:space="preserve">  Expense!BO$26</f>
        <v>3666939.1238656417</v>
      </c>
      <c r="BP49" s="4">
        <f ca="1" xml:space="preserve">  Expense!BP$26</f>
        <v>3884986.6709978567</v>
      </c>
      <c r="BQ49" s="4">
        <f ca="1" xml:space="preserve">  Expense!BQ$26</f>
        <v>4116000.000000007</v>
      </c>
    </row>
    <row r="50" spans="1:69" outlineLevel="1">
      <c r="A50" s="18"/>
      <c r="B50" s="18"/>
      <c r="C50" s="28"/>
      <c r="D50" s="27"/>
      <c r="E50" s="4" t="str">
        <f xml:space="preserve">  Expense!E$13</f>
        <v>VAT on operating expense</v>
      </c>
      <c r="F50" s="4">
        <f xml:space="preserve">  Expense!F$13</f>
        <v>0</v>
      </c>
      <c r="G50" s="4" t="str">
        <f xml:space="preserve">  Expense!G$13</f>
        <v>GBP</v>
      </c>
      <c r="H50" s="4">
        <f ca="1" xml:space="preserve">  Expense!H$13</f>
        <v>7115824.4634284526</v>
      </c>
      <c r="I50" s="4">
        <f xml:space="preserve">  Expense!I$13</f>
        <v>0</v>
      </c>
      <c r="J50" s="4">
        <f ca="1" xml:space="preserve">  Expense!J$13</f>
        <v>6700</v>
      </c>
      <c r="K50" s="4">
        <f ca="1" xml:space="preserve">  Expense!K$13</f>
        <v>6700</v>
      </c>
      <c r="L50" s="4">
        <f ca="1" xml:space="preserve">  Expense!L$13</f>
        <v>6700</v>
      </c>
      <c r="M50" s="4">
        <f ca="1" xml:space="preserve">  Expense!M$13</f>
        <v>6760.7856851345514</v>
      </c>
      <c r="N50" s="4">
        <f ca="1" xml:space="preserve">  Expense!N$13</f>
        <v>15160.785685134551</v>
      </c>
      <c r="O50" s="4">
        <f ca="1" xml:space="preserve">  Expense!O$13</f>
        <v>15160.785685134551</v>
      </c>
      <c r="P50" s="4">
        <f ca="1" xml:space="preserve">  Expense!P$13</f>
        <v>15223.049330076014</v>
      </c>
      <c r="Q50" s="4">
        <f ca="1" xml:space="preserve">  Expense!Q$13</f>
        <v>23623.049330076014</v>
      </c>
      <c r="R50" s="4">
        <f ca="1" xml:space="preserve">  Expense!R$13</f>
        <v>23623.049330076014</v>
      </c>
      <c r="S50" s="4">
        <f ca="1" xml:space="preserve">  Expense!S$13</f>
        <v>23686.826870344172</v>
      </c>
      <c r="T50" s="4">
        <f ca="1" xml:space="preserve">  Expense!T$13</f>
        <v>23686.826870344172</v>
      </c>
      <c r="U50" s="4">
        <f ca="1" xml:space="preserve">  Expense!U$13</f>
        <v>23686.826870344172</v>
      </c>
      <c r="V50" s="4">
        <f ca="1" xml:space="preserve">  Expense!V$13</f>
        <v>24998.724981545205</v>
      </c>
      <c r="W50" s="4">
        <f ca="1" xml:space="preserve">  Expense!W$13</f>
        <v>26321.70301449683</v>
      </c>
      <c r="X50" s="4">
        <f ca="1" xml:space="preserve">  Expense!X$13</f>
        <v>27723.34941505715</v>
      </c>
      <c r="Y50" s="4">
        <f ca="1" xml:space="preserve">  Expense!Y$13</f>
        <v>29275.481014173223</v>
      </c>
      <c r="Z50" s="4">
        <f ca="1" xml:space="preserve">  Expense!Z$13</f>
        <v>30848.775903951599</v>
      </c>
      <c r="AA50" s="4">
        <f ca="1" xml:space="preserve">  Expense!AA$13</f>
        <v>32515.623776215874</v>
      </c>
      <c r="AB50" s="4">
        <f ca="1" xml:space="preserve">  Expense!AB$13</f>
        <v>34349.989438470118</v>
      </c>
      <c r="AC50" s="4">
        <f ca="1" xml:space="preserve">  Expense!AC$13</f>
        <v>36220.962915392003</v>
      </c>
      <c r="AD50" s="4">
        <f ca="1" xml:space="preserve">  Expense!AD$13</f>
        <v>38203.190264715828</v>
      </c>
      <c r="AE50" s="4">
        <f ca="1" xml:space="preserve">  Expense!AE$13</f>
        <v>40373.575422911701</v>
      </c>
      <c r="AF50" s="4">
        <f ca="1" xml:space="preserve">  Expense!AF$13</f>
        <v>42598.550393648562</v>
      </c>
      <c r="AG50" s="4">
        <f ca="1" xml:space="preserve">  Expense!AG$13</f>
        <v>44955.829261017439</v>
      </c>
      <c r="AH50" s="4">
        <f ca="1" xml:space="preserve">  Expense!AH$13</f>
        <v>51302.713034103544</v>
      </c>
      <c r="AI50" s="4">
        <f ca="1" xml:space="preserve">  Expense!AI$13</f>
        <v>53948.669100006809</v>
      </c>
      <c r="AJ50" s="4">
        <f ca="1" xml:space="preserve">  Expense!AJ$13</f>
        <v>56751.961901127434</v>
      </c>
      <c r="AK50" s="4">
        <f ca="1" xml:space="preserve">  Expense!AK$13</f>
        <v>59795.436319233886</v>
      </c>
      <c r="AL50" s="4">
        <f ca="1" xml:space="preserve">  Expense!AL$13</f>
        <v>70502.02609879068</v>
      </c>
      <c r="AM50" s="4">
        <f ca="1" xml:space="preserve">  Expense!AM$13</f>
        <v>73835.721843319232</v>
      </c>
      <c r="AN50" s="4">
        <f ca="1" xml:space="preserve">  Expense!AN$13</f>
        <v>77442.92379053554</v>
      </c>
      <c r="AO50" s="4">
        <f ca="1" xml:space="preserve">  Expense!AO$13</f>
        <v>88744.870744379296</v>
      </c>
      <c r="AP50" s="4">
        <f ca="1" xml:space="preserve">  Expense!AP$13</f>
        <v>92709.325443026915</v>
      </c>
      <c r="AQ50" s="4">
        <f ca="1" xml:space="preserve">  Expense!AQ$13</f>
        <v>96986.816649019413</v>
      </c>
      <c r="AR50" s="4">
        <f ca="1" xml:space="preserve">  Expense!AR$13</f>
        <v>101436.76659049315</v>
      </c>
      <c r="AS50" s="4">
        <f ca="1" xml:space="preserve">  Expense!AS$13</f>
        <v>106151.32432523089</v>
      </c>
      <c r="AT50" s="4">
        <f ca="1" xml:space="preserve">  Expense!AT$13</f>
        <v>112346.46949031638</v>
      </c>
      <c r="AU50" s="4">
        <f ca="1" xml:space="preserve">  Expense!AU$13</f>
        <v>118829.06185177941</v>
      </c>
      <c r="AV50" s="4">
        <f ca="1" xml:space="preserve">  Expense!AV$13</f>
        <v>125697.12921452493</v>
      </c>
      <c r="AW50" s="4">
        <f ca="1" xml:space="preserve">  Expense!AW$13</f>
        <v>133054.44809200661</v>
      </c>
      <c r="AX50" s="4">
        <f ca="1" xml:space="preserve">  Expense!AX$13</f>
        <v>140763.59305192073</v>
      </c>
      <c r="AY50" s="4">
        <f ca="1" xml:space="preserve">  Expense!AY$13</f>
        <v>148931.14762601568</v>
      </c>
      <c r="AZ50" s="4">
        <f ca="1" xml:space="preserve">  Expense!AZ$13</f>
        <v>157667.1898137629</v>
      </c>
      <c r="BA50" s="4">
        <f ca="1" xml:space="preserve">  Expense!BA$13</f>
        <v>166834.95985068014</v>
      </c>
      <c r="BB50" s="4">
        <f ca="1" xml:space="preserve">  Expense!BB$13</f>
        <v>176547.87386236686</v>
      </c>
      <c r="BC50" s="4">
        <f ca="1" xml:space="preserve">  Expense!BC$13</f>
        <v>186923.35494227236</v>
      </c>
      <c r="BD50" s="4">
        <f ca="1" xml:space="preserve">  Expense!BD$13</f>
        <v>197825.73229888306</v>
      </c>
      <c r="BE50" s="4">
        <f ca="1" xml:space="preserve">  Expense!BE$13</f>
        <v>209376.39874899058</v>
      </c>
      <c r="BF50" s="4">
        <f ca="1" xml:space="preserve">  Expense!BF$13</f>
        <v>221697.94587510728</v>
      </c>
      <c r="BG50" s="4">
        <f ca="1" xml:space="preserve">  Expense!BG$13</f>
        <v>234663.13059803328</v>
      </c>
      <c r="BH50" s="4">
        <f ca="1" xml:space="preserve">  Expense!BH$13</f>
        <v>248399.26532352433</v>
      </c>
      <c r="BI50" s="4">
        <f ca="1" xml:space="preserve">  Expense!BI$13</f>
        <v>263041.14476289513</v>
      </c>
      <c r="BJ50" s="4">
        <f ca="1" xml:space="preserve">  Expense!BJ$13</f>
        <v>278459.43468272331</v>
      </c>
      <c r="BK50" s="4">
        <f ca="1" xml:space="preserve">  Expense!BK$13</f>
        <v>294794.54383091326</v>
      </c>
      <c r="BL50" s="4">
        <f ca="1" xml:space="preserve">  Expense!BL$13</f>
        <v>312192.10235011479</v>
      </c>
      <c r="BM50" s="4">
        <f ca="1" xml:space="preserve">  Expense!BM$13</f>
        <v>330527.64242394926</v>
      </c>
      <c r="BN50" s="4">
        <f ca="1" xml:space="preserve">  Expense!BN$13</f>
        <v>349953.4704473227</v>
      </c>
      <c r="BO50" s="4">
        <f ca="1" xml:space="preserve">  Expense!BO$13</f>
        <v>370627.09488872165</v>
      </c>
      <c r="BP50" s="4">
        <f ca="1" xml:space="preserve">  Expense!BP$13</f>
        <v>392431.84960194316</v>
      </c>
      <c r="BQ50" s="4">
        <f ca="1" xml:space="preserve">  Expense!BQ$13</f>
        <v>415533.18250215822</v>
      </c>
    </row>
    <row r="51" spans="1:69" outlineLevel="1">
      <c r="E51" s="47" t="s">
        <v>153</v>
      </c>
      <c r="G51" s="47" t="s">
        <v>257</v>
      </c>
      <c r="H51" s="2">
        <f t="shared" ref="H51:H52" ca="1" si="9" xml:space="preserve"> SUM( J51:BQ51 )</f>
        <v>78274069.097712979</v>
      </c>
      <c r="J51" s="2">
        <f t="shared" ref="J51:BQ51" ca="1" si="10" xml:space="preserve">  J48 + J49 + J50</f>
        <v>73700</v>
      </c>
      <c r="K51" s="2">
        <f t="shared" ca="1" si="10"/>
        <v>73700</v>
      </c>
      <c r="L51" s="2">
        <f t="shared" ca="1" si="10"/>
        <v>73700</v>
      </c>
      <c r="M51" s="2">
        <f t="shared" ca="1" si="10"/>
        <v>74368.642536480067</v>
      </c>
      <c r="N51" s="2">
        <f t="shared" ca="1" si="10"/>
        <v>166768.64253648007</v>
      </c>
      <c r="O51" s="2">
        <f t="shared" ca="1" si="10"/>
        <v>166768.64253648007</v>
      </c>
      <c r="P51" s="2">
        <f t="shared" ca="1" si="10"/>
        <v>167453.54263083613</v>
      </c>
      <c r="Q51" s="2">
        <f t="shared" ca="1" si="10"/>
        <v>259853.54263083613</v>
      </c>
      <c r="R51" s="2">
        <f t="shared" ca="1" si="10"/>
        <v>259853.54263083613</v>
      </c>
      <c r="S51" s="2">
        <f t="shared" ca="1" si="10"/>
        <v>260555.09557378589</v>
      </c>
      <c r="T51" s="2">
        <f t="shared" ca="1" si="10"/>
        <v>260555.09557378589</v>
      </c>
      <c r="U51" s="2">
        <f t="shared" ca="1" si="10"/>
        <v>260555.09557378589</v>
      </c>
      <c r="V51" s="2">
        <f t="shared" ca="1" si="10"/>
        <v>274985.97479699721</v>
      </c>
      <c r="W51" s="2">
        <f t="shared" ca="1" si="10"/>
        <v>289538.73315946513</v>
      </c>
      <c r="X51" s="2">
        <f t="shared" ca="1" si="10"/>
        <v>304956.84356562863</v>
      </c>
      <c r="Y51" s="2">
        <f t="shared" ca="1" si="10"/>
        <v>322030.29115590546</v>
      </c>
      <c r="Z51" s="2">
        <f t="shared" ca="1" si="10"/>
        <v>339336.53494346759</v>
      </c>
      <c r="AA51" s="2">
        <f t="shared" ca="1" si="10"/>
        <v>357671.86153837462</v>
      </c>
      <c r="AB51" s="2">
        <f t="shared" ca="1" si="10"/>
        <v>377849.88382317126</v>
      </c>
      <c r="AC51" s="2">
        <f t="shared" ca="1" si="10"/>
        <v>398430.592069312</v>
      </c>
      <c r="AD51" s="2">
        <f t="shared" ca="1" si="10"/>
        <v>420235.09291187406</v>
      </c>
      <c r="AE51" s="2">
        <f t="shared" ca="1" si="10"/>
        <v>444109.32965202862</v>
      </c>
      <c r="AF51" s="2">
        <f t="shared" ca="1" si="10"/>
        <v>468584.05433013418</v>
      </c>
      <c r="AG51" s="2">
        <f t="shared" ca="1" si="10"/>
        <v>494514.12187119183</v>
      </c>
      <c r="AH51" s="2">
        <f t="shared" ca="1" si="10"/>
        <v>564329.84337513894</v>
      </c>
      <c r="AI51" s="2">
        <f t="shared" ca="1" si="10"/>
        <v>593435.3601000749</v>
      </c>
      <c r="AJ51" s="2">
        <f t="shared" ca="1" si="10"/>
        <v>624271.58091240178</v>
      </c>
      <c r="AK51" s="2">
        <f t="shared" ca="1" si="10"/>
        <v>657749.7995115727</v>
      </c>
      <c r="AL51" s="2">
        <f t="shared" ca="1" si="10"/>
        <v>775522.28708669741</v>
      </c>
      <c r="AM51" s="2">
        <f t="shared" ca="1" si="10"/>
        <v>812192.94027651148</v>
      </c>
      <c r="AN51" s="2">
        <f t="shared" ca="1" si="10"/>
        <v>851872.16169589094</v>
      </c>
      <c r="AO51" s="2">
        <f t="shared" ca="1" si="10"/>
        <v>976193.57818817208</v>
      </c>
      <c r="AP51" s="2">
        <f t="shared" ca="1" si="10"/>
        <v>1019802.5798732961</v>
      </c>
      <c r="AQ51" s="2">
        <f t="shared" ca="1" si="10"/>
        <v>1066854.9831392134</v>
      </c>
      <c r="AR51" s="2">
        <f t="shared" ca="1" si="10"/>
        <v>1115804.4324954245</v>
      </c>
      <c r="AS51" s="2">
        <f t="shared" ca="1" si="10"/>
        <v>1167664.5675775397</v>
      </c>
      <c r="AT51" s="2">
        <f t="shared" ca="1" si="10"/>
        <v>1235811.1643934802</v>
      </c>
      <c r="AU51" s="2">
        <f t="shared" ca="1" si="10"/>
        <v>1307119.6803695734</v>
      </c>
      <c r="AV51" s="2">
        <f t="shared" ca="1" si="10"/>
        <v>1382668.4213597742</v>
      </c>
      <c r="AW51" s="2">
        <f t="shared" ca="1" si="10"/>
        <v>1463598.9290120727</v>
      </c>
      <c r="AX51" s="2">
        <f t="shared" ca="1" si="10"/>
        <v>1548399.5235711278</v>
      </c>
      <c r="AY51" s="2">
        <f t="shared" ca="1" si="10"/>
        <v>1638242.6238861722</v>
      </c>
      <c r="AZ51" s="2">
        <f t="shared" ca="1" si="10"/>
        <v>1734339.0879513919</v>
      </c>
      <c r="BA51" s="2">
        <f t="shared" ca="1" si="10"/>
        <v>1835184.5583574814</v>
      </c>
      <c r="BB51" s="2">
        <f t="shared" ca="1" si="10"/>
        <v>1942026.6124860353</v>
      </c>
      <c r="BC51" s="2">
        <f t="shared" ca="1" si="10"/>
        <v>2056156.9043649959</v>
      </c>
      <c r="BD51" s="2">
        <f t="shared" ca="1" si="10"/>
        <v>2176083.0552877137</v>
      </c>
      <c r="BE51" s="2">
        <f t="shared" ca="1" si="10"/>
        <v>2303140.3862388963</v>
      </c>
      <c r="BF51" s="2">
        <f t="shared" ca="1" si="10"/>
        <v>2438677.40462618</v>
      </c>
      <c r="BG51" s="2">
        <f t="shared" ca="1" si="10"/>
        <v>2581294.436578366</v>
      </c>
      <c r="BH51" s="2">
        <f t="shared" ca="1" si="10"/>
        <v>2732391.9185587675</v>
      </c>
      <c r="BI51" s="2">
        <f t="shared" ca="1" si="10"/>
        <v>2893452.5923918462</v>
      </c>
      <c r="BJ51" s="2">
        <f t="shared" ca="1" si="10"/>
        <v>3063053.7815099563</v>
      </c>
      <c r="BK51" s="2">
        <f t="shared" ca="1" si="10"/>
        <v>3242739.9821400456</v>
      </c>
      <c r="BL51" s="2">
        <f t="shared" ca="1" si="10"/>
        <v>3434113.1258512628</v>
      </c>
      <c r="BM51" s="2">
        <f t="shared" ca="1" si="10"/>
        <v>3635804.0666634417</v>
      </c>
      <c r="BN51" s="2">
        <f t="shared" ca="1" si="10"/>
        <v>3849488.1749205496</v>
      </c>
      <c r="BO51" s="2">
        <f t="shared" ca="1" si="10"/>
        <v>4076898.043775938</v>
      </c>
      <c r="BP51" s="2">
        <f t="shared" ca="1" si="10"/>
        <v>4316750.3456213744</v>
      </c>
      <c r="BQ51" s="2">
        <f t="shared" ca="1" si="10"/>
        <v>4570865.0075237397</v>
      </c>
    </row>
    <row r="52" spans="1:69" outlineLevel="1">
      <c r="A52" s="34"/>
      <c r="B52" s="34"/>
      <c r="C52" s="64"/>
      <c r="D52" s="65"/>
      <c r="E52" s="21" t="str">
        <f xml:space="preserve"> LEFT($E$51, LEN($E$51) - 3 )</f>
        <v xml:space="preserve">Cash out on Operating Expense </v>
      </c>
      <c r="F52" s="21"/>
      <c r="G52" s="21" t="str">
        <f xml:space="preserve"> G$51</f>
        <v>GBP</v>
      </c>
      <c r="H52" s="3">
        <f t="shared" ca="1" si="9"/>
        <v>-78274069.097712979</v>
      </c>
      <c r="I52" s="21"/>
      <c r="J52" s="3">
        <f t="shared" ref="J52:BQ52" ca="1" si="11" xml:space="preserve"> -1 * J51</f>
        <v>-73700</v>
      </c>
      <c r="K52" s="3">
        <f t="shared" ca="1" si="11"/>
        <v>-73700</v>
      </c>
      <c r="L52" s="3">
        <f t="shared" ca="1" si="11"/>
        <v>-73700</v>
      </c>
      <c r="M52" s="3">
        <f t="shared" ca="1" si="11"/>
        <v>-74368.642536480067</v>
      </c>
      <c r="N52" s="3">
        <f t="shared" ca="1" si="11"/>
        <v>-166768.64253648007</v>
      </c>
      <c r="O52" s="3">
        <f t="shared" ca="1" si="11"/>
        <v>-166768.64253648007</v>
      </c>
      <c r="P52" s="3">
        <f t="shared" ca="1" si="11"/>
        <v>-167453.54263083613</v>
      </c>
      <c r="Q52" s="3">
        <f t="shared" ca="1" si="11"/>
        <v>-259853.54263083613</v>
      </c>
      <c r="R52" s="3">
        <f t="shared" ca="1" si="11"/>
        <v>-259853.54263083613</v>
      </c>
      <c r="S52" s="3">
        <f t="shared" ca="1" si="11"/>
        <v>-260555.09557378589</v>
      </c>
      <c r="T52" s="3">
        <f t="shared" ca="1" si="11"/>
        <v>-260555.09557378589</v>
      </c>
      <c r="U52" s="3">
        <f t="shared" ca="1" si="11"/>
        <v>-260555.09557378589</v>
      </c>
      <c r="V52" s="3">
        <f t="shared" ca="1" si="11"/>
        <v>-274985.97479699721</v>
      </c>
      <c r="W52" s="3">
        <f t="shared" ca="1" si="11"/>
        <v>-289538.73315946513</v>
      </c>
      <c r="X52" s="3">
        <f t="shared" ca="1" si="11"/>
        <v>-304956.84356562863</v>
      </c>
      <c r="Y52" s="3">
        <f t="shared" ca="1" si="11"/>
        <v>-322030.29115590546</v>
      </c>
      <c r="Z52" s="3">
        <f t="shared" ca="1" si="11"/>
        <v>-339336.53494346759</v>
      </c>
      <c r="AA52" s="3">
        <f t="shared" ca="1" si="11"/>
        <v>-357671.86153837462</v>
      </c>
      <c r="AB52" s="3">
        <f t="shared" ca="1" si="11"/>
        <v>-377849.88382317126</v>
      </c>
      <c r="AC52" s="3">
        <f t="shared" ca="1" si="11"/>
        <v>-398430.592069312</v>
      </c>
      <c r="AD52" s="3">
        <f t="shared" ca="1" si="11"/>
        <v>-420235.09291187406</v>
      </c>
      <c r="AE52" s="3">
        <f t="shared" ca="1" si="11"/>
        <v>-444109.32965202862</v>
      </c>
      <c r="AF52" s="3">
        <f t="shared" ca="1" si="11"/>
        <v>-468584.05433013418</v>
      </c>
      <c r="AG52" s="3">
        <f t="shared" ca="1" si="11"/>
        <v>-494514.12187119183</v>
      </c>
      <c r="AH52" s="3">
        <f t="shared" ca="1" si="11"/>
        <v>-564329.84337513894</v>
      </c>
      <c r="AI52" s="3">
        <f t="shared" ca="1" si="11"/>
        <v>-593435.3601000749</v>
      </c>
      <c r="AJ52" s="3">
        <f t="shared" ca="1" si="11"/>
        <v>-624271.58091240178</v>
      </c>
      <c r="AK52" s="3">
        <f t="shared" ca="1" si="11"/>
        <v>-657749.7995115727</v>
      </c>
      <c r="AL52" s="3">
        <f t="shared" ca="1" si="11"/>
        <v>-775522.28708669741</v>
      </c>
      <c r="AM52" s="3">
        <f t="shared" ca="1" si="11"/>
        <v>-812192.94027651148</v>
      </c>
      <c r="AN52" s="3">
        <f t="shared" ca="1" si="11"/>
        <v>-851872.16169589094</v>
      </c>
      <c r="AO52" s="3">
        <f t="shared" ca="1" si="11"/>
        <v>-976193.57818817208</v>
      </c>
      <c r="AP52" s="3">
        <f t="shared" ca="1" si="11"/>
        <v>-1019802.5798732961</v>
      </c>
      <c r="AQ52" s="3">
        <f t="shared" ca="1" si="11"/>
        <v>-1066854.9831392134</v>
      </c>
      <c r="AR52" s="3">
        <f t="shared" ca="1" si="11"/>
        <v>-1115804.4324954245</v>
      </c>
      <c r="AS52" s="3">
        <f t="shared" ca="1" si="11"/>
        <v>-1167664.5675775397</v>
      </c>
      <c r="AT52" s="3">
        <f t="shared" ca="1" si="11"/>
        <v>-1235811.1643934802</v>
      </c>
      <c r="AU52" s="3">
        <f t="shared" ca="1" si="11"/>
        <v>-1307119.6803695734</v>
      </c>
      <c r="AV52" s="3">
        <f t="shared" ca="1" si="11"/>
        <v>-1382668.4213597742</v>
      </c>
      <c r="AW52" s="3">
        <f t="shared" ca="1" si="11"/>
        <v>-1463598.9290120727</v>
      </c>
      <c r="AX52" s="3">
        <f t="shared" ca="1" si="11"/>
        <v>-1548399.5235711278</v>
      </c>
      <c r="AY52" s="3">
        <f t="shared" ca="1" si="11"/>
        <v>-1638242.6238861722</v>
      </c>
      <c r="AZ52" s="3">
        <f t="shared" ca="1" si="11"/>
        <v>-1734339.0879513919</v>
      </c>
      <c r="BA52" s="3">
        <f t="shared" ca="1" si="11"/>
        <v>-1835184.5583574814</v>
      </c>
      <c r="BB52" s="3">
        <f t="shared" ca="1" si="11"/>
        <v>-1942026.6124860353</v>
      </c>
      <c r="BC52" s="3">
        <f t="shared" ca="1" si="11"/>
        <v>-2056156.9043649959</v>
      </c>
      <c r="BD52" s="3">
        <f t="shared" ca="1" si="11"/>
        <v>-2176083.0552877137</v>
      </c>
      <c r="BE52" s="3">
        <f t="shared" ca="1" si="11"/>
        <v>-2303140.3862388963</v>
      </c>
      <c r="BF52" s="3">
        <f t="shared" ca="1" si="11"/>
        <v>-2438677.40462618</v>
      </c>
      <c r="BG52" s="3">
        <f t="shared" ca="1" si="11"/>
        <v>-2581294.436578366</v>
      </c>
      <c r="BH52" s="3">
        <f t="shared" ca="1" si="11"/>
        <v>-2732391.9185587675</v>
      </c>
      <c r="BI52" s="3">
        <f t="shared" ca="1" si="11"/>
        <v>-2893452.5923918462</v>
      </c>
      <c r="BJ52" s="3">
        <f t="shared" ca="1" si="11"/>
        <v>-3063053.7815099563</v>
      </c>
      <c r="BK52" s="3">
        <f t="shared" ca="1" si="11"/>
        <v>-3242739.9821400456</v>
      </c>
      <c r="BL52" s="3">
        <f t="shared" ca="1" si="11"/>
        <v>-3434113.1258512628</v>
      </c>
      <c r="BM52" s="3">
        <f t="shared" ca="1" si="11"/>
        <v>-3635804.0666634417</v>
      </c>
      <c r="BN52" s="3">
        <f t="shared" ca="1" si="11"/>
        <v>-3849488.1749205496</v>
      </c>
      <c r="BO52" s="3">
        <f t="shared" ca="1" si="11"/>
        <v>-4076898.043775938</v>
      </c>
      <c r="BP52" s="3">
        <f t="shared" ca="1" si="11"/>
        <v>-4316750.3456213744</v>
      </c>
      <c r="BQ52" s="3">
        <f t="shared" ca="1" si="11"/>
        <v>-4570865.0075237397</v>
      </c>
    </row>
    <row r="55" spans="1:69">
      <c r="B55" s="25" t="s">
        <v>271</v>
      </c>
    </row>
  </sheetData>
  <conditionalFormatting sqref="F2:F3">
    <cfRule type="cellIs" dxfId="203" priority="1" stopIfTrue="1" operator="notEqual">
      <formula>0</formula>
    </cfRule>
    <cfRule type="cellIs" dxfId="202" priority="2" stopIfTrue="1" operator="equal">
      <formula>""</formula>
    </cfRule>
  </conditionalFormatting>
  <conditionalFormatting sqref="J3:BQ3">
    <cfRule type="cellIs" dxfId="201" priority="8" operator="equal">
      <formula>"PPA ext."</formula>
    </cfRule>
    <cfRule type="cellIs" dxfId="200" priority="9" operator="equal">
      <formula>"Delay"</formula>
    </cfRule>
    <cfRule type="cellIs" dxfId="199" priority="10" operator="equal">
      <formula>"Fin Close"</formula>
    </cfRule>
    <cfRule type="cellIs" dxfId="198" priority="11" stopIfTrue="1" operator="equal">
      <formula>"Construction"</formula>
    </cfRule>
    <cfRule type="cellIs" dxfId="197"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outlinePr summaryBelow="0" summaryRight="0"/>
  </sheetPr>
  <dimension ref="A1:BQ5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2.777343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Invoice finance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303</v>
      </c>
    </row>
    <row r="9" spans="1:69" s="80" customFormat="1">
      <c r="A9" s="60"/>
      <c r="B9" s="60"/>
      <c r="C9" s="82"/>
      <c r="D9" s="85"/>
      <c r="E9" s="40" t="str">
        <f xml:space="preserve">  InpC!E$65</f>
        <v>Opening Invoice finance balance</v>
      </c>
      <c r="F9" s="40">
        <f xml:space="preserve">  InpC!F$65</f>
        <v>0</v>
      </c>
      <c r="G9" s="40" t="str">
        <f xml:space="preserve">  InpC!G$65</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349</v>
      </c>
      <c r="G11" s="47" t="s">
        <v>257</v>
      </c>
      <c r="J11" s="2">
        <f t="shared" ref="J11:BQ11" si="0" xml:space="preserve">  I15</f>
        <v>0</v>
      </c>
      <c r="K11" s="2">
        <f t="shared" ca="1" si="0"/>
        <v>0</v>
      </c>
      <c r="L11" s="2">
        <f t="shared" ca="1" si="0"/>
        <v>0</v>
      </c>
      <c r="M11" s="2">
        <f t="shared" ca="1" si="0"/>
        <v>0</v>
      </c>
      <c r="N11" s="2">
        <f t="shared" ca="1" si="0"/>
        <v>0</v>
      </c>
      <c r="O11" s="2">
        <f t="shared" ca="1" si="0"/>
        <v>0</v>
      </c>
      <c r="P11" s="2">
        <f t="shared" ca="1" si="0"/>
        <v>0</v>
      </c>
      <c r="Q11" s="2">
        <f t="shared" ca="1" si="0"/>
        <v>0</v>
      </c>
      <c r="R11" s="2">
        <f t="shared" ca="1" si="0"/>
        <v>0</v>
      </c>
      <c r="S11" s="2">
        <f t="shared" ca="1" si="0"/>
        <v>0</v>
      </c>
      <c r="T11" s="2">
        <f t="shared" ca="1" si="0"/>
        <v>0</v>
      </c>
      <c r="U11" s="2">
        <f t="shared" ca="1" si="0"/>
        <v>0</v>
      </c>
      <c r="V11" s="2">
        <f t="shared" ca="1" si="0"/>
        <v>0</v>
      </c>
      <c r="W11" s="2">
        <f t="shared" ca="1" si="0"/>
        <v>0</v>
      </c>
      <c r="X11" s="2">
        <f t="shared" ca="1" si="0"/>
        <v>0</v>
      </c>
      <c r="Y11" s="2">
        <f t="shared" ca="1" si="0"/>
        <v>0</v>
      </c>
      <c r="Z11" s="2">
        <f t="shared" ca="1" si="0"/>
        <v>0</v>
      </c>
      <c r="AA11" s="2">
        <f t="shared" ca="1" si="0"/>
        <v>0</v>
      </c>
      <c r="AB11" s="2">
        <f t="shared" ca="1" si="0"/>
        <v>0</v>
      </c>
      <c r="AC11" s="2">
        <f t="shared" ca="1" si="0"/>
        <v>0</v>
      </c>
      <c r="AD11" s="2">
        <f t="shared" ca="1" si="0"/>
        <v>0</v>
      </c>
      <c r="AE11" s="2">
        <f t="shared" ca="1" si="0"/>
        <v>0</v>
      </c>
      <c r="AF11" s="2">
        <f t="shared" ca="1" si="0"/>
        <v>0</v>
      </c>
      <c r="AG11" s="2">
        <f t="shared" ca="1" si="0"/>
        <v>0</v>
      </c>
      <c r="AH11" s="2">
        <f t="shared" ca="1" si="0"/>
        <v>0</v>
      </c>
      <c r="AI11" s="2">
        <f t="shared" ca="1" si="0"/>
        <v>0</v>
      </c>
      <c r="AJ11" s="2">
        <f t="shared" ca="1" si="0"/>
        <v>0</v>
      </c>
      <c r="AK11" s="2">
        <f t="shared" ca="1" si="0"/>
        <v>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4" t="s">
        <v>220</v>
      </c>
      <c r="E12" s="2" t="str">
        <f t="shared" ref="E12:BQ12" si="1" xml:space="preserve">  E$21</f>
        <v>Invoice finance drawdown</v>
      </c>
      <c r="F12" s="2">
        <f t="shared" si="1"/>
        <v>0</v>
      </c>
      <c r="G12" s="2" t="str">
        <f t="shared" si="1"/>
        <v>GBP</v>
      </c>
      <c r="H12" s="2">
        <f t="shared" ca="1" si="1"/>
        <v>0</v>
      </c>
      <c r="I12" s="2">
        <f t="shared" si="1"/>
        <v>0</v>
      </c>
      <c r="J12" s="2">
        <f t="shared" ca="1" si="1"/>
        <v>0</v>
      </c>
      <c r="K12" s="2">
        <f t="shared" ca="1" si="1"/>
        <v>0</v>
      </c>
      <c r="L12" s="2">
        <f t="shared" ca="1" si="1"/>
        <v>0</v>
      </c>
      <c r="M12" s="2">
        <f t="shared" ca="1" si="1"/>
        <v>0</v>
      </c>
      <c r="N12" s="2">
        <f t="shared" ca="1" si="1"/>
        <v>0</v>
      </c>
      <c r="O12" s="2">
        <f t="shared" ca="1" si="1"/>
        <v>0</v>
      </c>
      <c r="P12" s="2">
        <f t="shared" ca="1" si="1"/>
        <v>0</v>
      </c>
      <c r="Q12" s="2">
        <f t="shared" ca="1" si="1"/>
        <v>0</v>
      </c>
      <c r="R12" s="2">
        <f t="shared" ca="1" si="1"/>
        <v>0</v>
      </c>
      <c r="S12" s="2">
        <f t="shared" ca="1" si="1"/>
        <v>0</v>
      </c>
      <c r="T12" s="2">
        <f t="shared" ca="1" si="1"/>
        <v>0</v>
      </c>
      <c r="U12" s="2">
        <f t="shared" ca="1" si="1"/>
        <v>0</v>
      </c>
      <c r="V12" s="2">
        <f t="shared" ca="1" si="1"/>
        <v>0</v>
      </c>
      <c r="W12" s="2">
        <f t="shared" ca="1" si="1"/>
        <v>0</v>
      </c>
      <c r="X12" s="2">
        <f t="shared" ca="1" si="1"/>
        <v>0</v>
      </c>
      <c r="Y12" s="2">
        <f t="shared" ca="1" si="1"/>
        <v>0</v>
      </c>
      <c r="Z12" s="2">
        <f t="shared" ca="1" si="1"/>
        <v>0</v>
      </c>
      <c r="AA12" s="2">
        <f t="shared" ca="1" si="1"/>
        <v>0</v>
      </c>
      <c r="AB12" s="2">
        <f t="shared" ca="1" si="1"/>
        <v>0</v>
      </c>
      <c r="AC12" s="2">
        <f t="shared" ca="1" si="1"/>
        <v>0</v>
      </c>
      <c r="AD12" s="2">
        <f t="shared" ca="1" si="1"/>
        <v>0</v>
      </c>
      <c r="AE12" s="2">
        <f t="shared" ca="1" si="1"/>
        <v>0</v>
      </c>
      <c r="AF12" s="2">
        <f t="shared" ca="1" si="1"/>
        <v>0</v>
      </c>
      <c r="AG12" s="2">
        <f t="shared" ca="1" si="1"/>
        <v>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4" t="s">
        <v>220</v>
      </c>
      <c r="E13" s="2" t="str">
        <f t="shared" ref="E13:BQ13" si="2" xml:space="preserve">  E$34</f>
        <v>Invoice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4" t="s">
        <v>299</v>
      </c>
      <c r="E14" s="2" t="str">
        <f t="shared" ref="E14:BQ14" si="3" xml:space="preserve">  E$27</f>
        <v>Invoice finance principal repayment POS</v>
      </c>
      <c r="F14" s="2">
        <f t="shared" si="3"/>
        <v>0</v>
      </c>
      <c r="G14" s="2" t="str">
        <f t="shared" si="3"/>
        <v>GBP</v>
      </c>
      <c r="H14" s="2">
        <f t="shared" ca="1" si="3"/>
        <v>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0</v>
      </c>
      <c r="S14" s="2">
        <f t="shared" ca="1" si="3"/>
        <v>0</v>
      </c>
      <c r="T14" s="2">
        <f t="shared" ca="1" si="3"/>
        <v>0</v>
      </c>
      <c r="U14" s="2">
        <f t="shared" ca="1" si="3"/>
        <v>0</v>
      </c>
      <c r="V14" s="2">
        <f t="shared" ca="1" si="3"/>
        <v>0</v>
      </c>
      <c r="W14" s="2">
        <f t="shared" ca="1" si="3"/>
        <v>0</v>
      </c>
      <c r="X14" s="2">
        <f t="shared" ca="1" si="3"/>
        <v>0</v>
      </c>
      <c r="Y14" s="2">
        <f t="shared" ca="1" si="3"/>
        <v>0</v>
      </c>
      <c r="Z14" s="2">
        <f t="shared" ca="1" si="3"/>
        <v>0</v>
      </c>
      <c r="AA14" s="2">
        <f t="shared" ca="1" si="3"/>
        <v>0</v>
      </c>
      <c r="AB14" s="2">
        <f t="shared" ca="1" si="3"/>
        <v>0</v>
      </c>
      <c r="AC14" s="2">
        <f t="shared" ca="1" si="3"/>
        <v>0</v>
      </c>
      <c r="AD14" s="2">
        <f t="shared" ca="1" si="3"/>
        <v>0</v>
      </c>
      <c r="AE14" s="2">
        <f t="shared" ca="1" si="3"/>
        <v>0</v>
      </c>
      <c r="AF14" s="2">
        <f t="shared" ca="1" si="3"/>
        <v>0</v>
      </c>
      <c r="AG14" s="2">
        <f t="shared" ca="1" si="3"/>
        <v>0</v>
      </c>
      <c r="AH14" s="2">
        <f t="shared" ca="1" si="3"/>
        <v>0</v>
      </c>
      <c r="AI14" s="2">
        <f t="shared" ca="1" si="3"/>
        <v>0</v>
      </c>
      <c r="AJ14" s="2">
        <f t="shared" ca="1" si="3"/>
        <v>0</v>
      </c>
      <c r="AK14" s="2">
        <f t="shared" ca="1" si="3"/>
        <v>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6" customFormat="1">
      <c r="A15" s="63"/>
      <c r="B15" s="63"/>
      <c r="C15" s="89"/>
      <c r="D15" s="91"/>
      <c r="E15" s="33" t="s">
        <v>303</v>
      </c>
      <c r="F15" s="33"/>
      <c r="G15" s="33" t="s">
        <v>257</v>
      </c>
      <c r="H15" s="33"/>
      <c r="I15" s="11">
        <f t="shared" ref="I15:BQ15" si="4" xml:space="preserve">  IF( I10 = 0, $F9, I11 + I12 + I13 - I14 )</f>
        <v>0</v>
      </c>
      <c r="J15" s="11">
        <f t="shared" ca="1" si="4"/>
        <v>0</v>
      </c>
      <c r="K15" s="11">
        <f t="shared" ca="1" si="4"/>
        <v>0</v>
      </c>
      <c r="L15" s="11">
        <f t="shared" ca="1" si="4"/>
        <v>0</v>
      </c>
      <c r="M15" s="11">
        <f t="shared" ca="1" si="4"/>
        <v>0</v>
      </c>
      <c r="N15" s="11">
        <f t="shared" ca="1" si="4"/>
        <v>0</v>
      </c>
      <c r="O15" s="11">
        <f t="shared" ca="1" si="4"/>
        <v>0</v>
      </c>
      <c r="P15" s="11">
        <f t="shared" ca="1" si="4"/>
        <v>0</v>
      </c>
      <c r="Q15" s="11">
        <f t="shared" ca="1" si="4"/>
        <v>0</v>
      </c>
      <c r="R15" s="11">
        <f t="shared" ca="1" si="4"/>
        <v>0</v>
      </c>
      <c r="S15" s="11">
        <f t="shared" ca="1" si="4"/>
        <v>0</v>
      </c>
      <c r="T15" s="11">
        <f t="shared" ca="1" si="4"/>
        <v>0</v>
      </c>
      <c r="U15" s="11">
        <f t="shared" ca="1" si="4"/>
        <v>0</v>
      </c>
      <c r="V15" s="11">
        <f t="shared" ca="1" si="4"/>
        <v>0</v>
      </c>
      <c r="W15" s="11">
        <f t="shared" ca="1" si="4"/>
        <v>0</v>
      </c>
      <c r="X15" s="11">
        <f t="shared" ca="1" si="4"/>
        <v>0</v>
      </c>
      <c r="Y15" s="11">
        <f t="shared" ca="1" si="4"/>
        <v>0</v>
      </c>
      <c r="Z15" s="11">
        <f t="shared" ca="1" si="4"/>
        <v>0</v>
      </c>
      <c r="AA15" s="11">
        <f t="shared" ca="1" si="4"/>
        <v>0</v>
      </c>
      <c r="AB15" s="11">
        <f t="shared" ca="1" si="4"/>
        <v>0</v>
      </c>
      <c r="AC15" s="11">
        <f t="shared" ca="1" si="4"/>
        <v>0</v>
      </c>
      <c r="AD15" s="11">
        <f t="shared" ca="1" si="4"/>
        <v>0</v>
      </c>
      <c r="AE15" s="11">
        <f t="shared" ca="1" si="4"/>
        <v>0</v>
      </c>
      <c r="AF15" s="11">
        <f t="shared" ca="1" si="4"/>
        <v>0</v>
      </c>
      <c r="AG15" s="11">
        <f t="shared" ca="1" si="4"/>
        <v>0</v>
      </c>
      <c r="AH15" s="11">
        <f t="shared" ca="1" si="4"/>
        <v>0</v>
      </c>
      <c r="AI15" s="11">
        <f t="shared" ca="1" si="4"/>
        <v>0</v>
      </c>
      <c r="AJ15" s="11">
        <f t="shared" ca="1" si="4"/>
        <v>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13</v>
      </c>
    </row>
    <row r="18" spans="1:69" outlineLevel="1">
      <c r="A18" s="18"/>
      <c r="B18" s="18"/>
      <c r="C18" s="28"/>
      <c r="D18" s="27"/>
      <c r="E18" s="43" t="str">
        <f xml:space="preserve">  InpC!E$63</f>
        <v>Invoice Finance Advance %</v>
      </c>
      <c r="F18" s="43">
        <f xml:space="preserve">  InpC!F$63</f>
        <v>0.9</v>
      </c>
      <c r="G18" s="43" t="str">
        <f xml:space="preserve">  InpC!G$63</f>
        <v>%</v>
      </c>
      <c r="M18" s="57"/>
    </row>
    <row r="19" spans="1:69" outlineLevel="1">
      <c r="A19" s="18"/>
      <c r="B19" s="18"/>
      <c r="C19" s="28"/>
      <c r="D19" s="27"/>
      <c r="E19" s="4" t="str">
        <f xml:space="preserve">  Income!E$18</f>
        <v>Income</v>
      </c>
      <c r="F19" s="4">
        <f xml:space="preserve">  Income!F$18</f>
        <v>0</v>
      </c>
      <c r="G19" s="4" t="str">
        <f xml:space="preserve">  Income!G$18</f>
        <v>GBP</v>
      </c>
      <c r="H19" s="4">
        <f ca="1" xml:space="preserve">  Income!H$18</f>
        <v>411685641.93826306</v>
      </c>
      <c r="I19" s="4">
        <f xml:space="preserve">  Income!I$18</f>
        <v>0</v>
      </c>
      <c r="J19" s="4">
        <f ca="1" xml:space="preserve">  Income!J$18</f>
        <v>0</v>
      </c>
      <c r="K19" s="4">
        <f ca="1" xml:space="preserve">  Income!K$18</f>
        <v>0</v>
      </c>
      <c r="L19" s="4">
        <f ca="1" xml:space="preserve">  Income!L$18</f>
        <v>70000</v>
      </c>
      <c r="M19" s="4">
        <f ca="1" xml:space="preserve">  Income!M$18</f>
        <v>105000</v>
      </c>
      <c r="N19" s="4">
        <f ca="1" xml:space="preserve">  Income!N$18</f>
        <v>140000</v>
      </c>
      <c r="O19" s="4">
        <f ca="1" xml:space="preserve">  Income!O$18</f>
        <v>175000</v>
      </c>
      <c r="P19" s="4">
        <f ca="1" xml:space="preserve">  Income!P$18</f>
        <v>350000</v>
      </c>
      <c r="Q19" s="4">
        <f ca="1" xml:space="preserve">  Income!Q$18</f>
        <v>455000</v>
      </c>
      <c r="R19" s="4">
        <f ca="1" xml:space="preserve">  Income!R$18</f>
        <v>525000</v>
      </c>
      <c r="S19" s="4">
        <f ca="1" xml:space="preserve">  Income!S$18</f>
        <v>525000</v>
      </c>
      <c r="T19" s="4">
        <f ca="1" xml:space="preserve">  Income!T$18</f>
        <v>875000</v>
      </c>
      <c r="U19" s="4">
        <f ca="1" xml:space="preserve">  Income!U$18</f>
        <v>875000</v>
      </c>
      <c r="V19" s="4">
        <f ca="1" xml:space="preserve">  Income!V$18</f>
        <v>1225000</v>
      </c>
      <c r="W19" s="4">
        <f ca="1" xml:space="preserve">  Income!W$18</f>
        <v>1515406.0415128767</v>
      </c>
      <c r="X19" s="4">
        <f ca="1" xml:space="preserve">  Income!X$18</f>
        <v>1575000</v>
      </c>
      <c r="Y19" s="4">
        <f ca="1" xml:space="preserve">  Income!Y$18</f>
        <v>1919948.1450924932</v>
      </c>
      <c r="Z19" s="4">
        <f ca="1" xml:space="preserve">  Income!Z$18</f>
        <v>1925000</v>
      </c>
      <c r="AA19" s="4">
        <f ca="1" xml:space="preserve">  Income!AA$18</f>
        <v>1925000</v>
      </c>
      <c r="AB19" s="4">
        <f ca="1" xml:space="preserve">  Income!AB$18</f>
        <v>1925000</v>
      </c>
      <c r="AC19" s="4">
        <f ca="1" xml:space="preserve">  Income!AC$18</f>
        <v>1925000</v>
      </c>
      <c r="AD19" s="4">
        <f ca="1" xml:space="preserve">  Income!AD$18</f>
        <v>1925000</v>
      </c>
      <c r="AE19" s="4">
        <f ca="1" xml:space="preserve">  Income!AE$18</f>
        <v>2100000</v>
      </c>
      <c r="AF19" s="4">
        <f ca="1" xml:space="preserve">  Income!AF$18</f>
        <v>2275000</v>
      </c>
      <c r="AG19" s="4">
        <f ca="1" xml:space="preserve">  Income!AG$18</f>
        <v>2450000</v>
      </c>
      <c r="AH19" s="4">
        <f ca="1" xml:space="preserve">  Income!AH$18</f>
        <v>2765000</v>
      </c>
      <c r="AI19" s="4">
        <f ca="1" xml:space="preserve">  Income!AI$18</f>
        <v>2905000</v>
      </c>
      <c r="AJ19" s="4">
        <f ca="1" xml:space="preserve">  Income!AJ$18</f>
        <v>3220000</v>
      </c>
      <c r="AK19" s="4">
        <f ca="1" xml:space="preserve">  Income!AK$18</f>
        <v>3360000</v>
      </c>
      <c r="AL19" s="4">
        <f ca="1" xml:space="preserve">  Income!AL$18</f>
        <v>3605000</v>
      </c>
      <c r="AM19" s="4">
        <f ca="1" xml:space="preserve">  Income!AM$18</f>
        <v>3850000</v>
      </c>
      <c r="AN19" s="4">
        <f ca="1" xml:space="preserve">  Income!AN$18</f>
        <v>4095000</v>
      </c>
      <c r="AO19" s="4">
        <f ca="1" xml:space="preserve">  Income!AO$18</f>
        <v>4270000</v>
      </c>
      <c r="AP19" s="4">
        <f ca="1" xml:space="preserve">  Income!AP$18</f>
        <v>4620000</v>
      </c>
      <c r="AQ19" s="4">
        <f ca="1" xml:space="preserve">  Income!AQ$18</f>
        <v>4795000</v>
      </c>
      <c r="AR19" s="4">
        <f ca="1" xml:space="preserve">  Income!AR$18</f>
        <v>5145000</v>
      </c>
      <c r="AS19" s="4">
        <f ca="1" xml:space="preserve">  Income!AS$18</f>
        <v>5495000</v>
      </c>
      <c r="AT19" s="4">
        <f ca="1" xml:space="preserve">  Income!AT$18</f>
        <v>6009593.9584871242</v>
      </c>
      <c r="AU19" s="4">
        <f ca="1" xml:space="preserve">  Income!AU$18</f>
        <v>6338163.1000329833</v>
      </c>
      <c r="AV19" s="4">
        <f ca="1" xml:space="preserve">  Income!AV$18</f>
        <v>6830051.8549075071</v>
      </c>
      <c r="AW19" s="4">
        <f ca="1" xml:space="preserve">  Income!AW$18</f>
        <v>7484565.6711759046</v>
      </c>
      <c r="AX19" s="4">
        <f ca="1" xml:space="preserve">  Income!AX$18</f>
        <v>7950968.6966961483</v>
      </c>
      <c r="AY19" s="4">
        <f ca="1" xml:space="preserve">  Income!AY$18</f>
        <v>8578481.323280856</v>
      </c>
      <c r="AZ19" s="4">
        <f ca="1" xml:space="preserve">  Income!AZ$18</f>
        <v>9191277.584827438</v>
      </c>
      <c r="BA19" s="4">
        <f ca="1" xml:space="preserve">  Income!BA$18</f>
        <v>9788482.4007330053</v>
      </c>
      <c r="BB19" s="4">
        <f ca="1" xml:space="preserve">  Income!BB$18</f>
        <v>10369168.655394204</v>
      </c>
      <c r="BC19" s="4">
        <f ca="1" xml:space="preserve">  Income!BC$18</f>
        <v>11107354.104045086</v>
      </c>
      <c r="BD19" s="4">
        <f ca="1" xml:space="preserve">  Income!BD$18</f>
        <v>11826998.094606493</v>
      </c>
      <c r="BE19" s="4">
        <f ca="1" xml:space="preserve">  Income!BE$18</f>
        <v>12701998.094606493</v>
      </c>
      <c r="BF19" s="4">
        <f ca="1" xml:space="preserve">  Income!BF$18</f>
        <v>13524686.011580739</v>
      </c>
      <c r="BG19" s="4">
        <f ca="1" xml:space="preserve">  Income!BG$18</f>
        <v>14325324.294672459</v>
      </c>
      <c r="BH19" s="4">
        <f ca="1" xml:space="preserve">  Income!BH$18</f>
        <v>15277601.804421507</v>
      </c>
      <c r="BI19" s="4">
        <f ca="1" xml:space="preserve">  Income!BI$18</f>
        <v>16205129.4369583</v>
      </c>
      <c r="BJ19" s="4">
        <f ca="1" xml:space="preserve">  Income!BJ$18</f>
        <v>17218435.487998791</v>
      </c>
      <c r="BK19" s="4">
        <f ca="1" xml:space="preserve">  Income!BK$18</f>
        <v>18203960.741168205</v>
      </c>
      <c r="BL19" s="4">
        <f ca="1" xml:space="preserve">  Income!BL$18</f>
        <v>19335053.264261369</v>
      </c>
      <c r="BM19" s="4">
        <f ca="1" xml:space="preserve">  Income!BM$18</f>
        <v>20371962.896072499</v>
      </c>
      <c r="BN19" s="4">
        <f ca="1" xml:space="preserve">  Income!BN$18</f>
        <v>21550835.405394897</v>
      </c>
      <c r="BO19" s="4">
        <f ca="1" xml:space="preserve">  Income!BO$18</f>
        <v>22869706.30269666</v>
      </c>
      <c r="BP19" s="4">
        <f ca="1" xml:space="preserve">  Income!BP$18</f>
        <v>24151494.283819474</v>
      </c>
      <c r="BQ19" s="4">
        <f ca="1" xml:space="preserve">  Income!BQ$18</f>
        <v>25568994.283819474</v>
      </c>
    </row>
    <row r="20" spans="1:69" outlineLevel="1">
      <c r="A20" s="18"/>
      <c r="B20" s="18"/>
      <c r="C20" s="28"/>
      <c r="D20" s="27"/>
      <c r="E20" s="4" t="str">
        <f xml:space="preserve">  Time!E$243</f>
        <v>Invoice Finance Enabled flag</v>
      </c>
      <c r="F20" s="4">
        <f xml:space="preserve">  Time!F$243</f>
        <v>0</v>
      </c>
      <c r="G20" s="4" t="str">
        <f xml:space="preserve">  Time!G$243</f>
        <v>flag</v>
      </c>
      <c r="H20" s="4">
        <f xml:space="preserve">  Time!H$243</f>
        <v>0</v>
      </c>
      <c r="I20" s="4">
        <f xml:space="preserve">  Time!I$243</f>
        <v>0</v>
      </c>
      <c r="J20" s="4">
        <f xml:space="preserve">  Time!J$243</f>
        <v>0</v>
      </c>
      <c r="K20" s="4">
        <f xml:space="preserve">  Time!K$243</f>
        <v>0</v>
      </c>
      <c r="L20" s="4">
        <f xml:space="preserve">  Time!L$243</f>
        <v>0</v>
      </c>
      <c r="M20" s="4">
        <f xml:space="preserve">  Time!M$243</f>
        <v>0</v>
      </c>
      <c r="N20" s="4">
        <f xml:space="preserve">  Time!N$243</f>
        <v>0</v>
      </c>
      <c r="O20" s="4">
        <f xml:space="preserve">  Time!O$243</f>
        <v>0</v>
      </c>
      <c r="P20" s="4">
        <f xml:space="preserve">  Time!P$243</f>
        <v>0</v>
      </c>
      <c r="Q20" s="4">
        <f xml:space="preserve">  Time!Q$243</f>
        <v>0</v>
      </c>
      <c r="R20" s="4">
        <f xml:space="preserve">  Time!R$243</f>
        <v>0</v>
      </c>
      <c r="S20" s="4">
        <f xml:space="preserve">  Time!S$243</f>
        <v>0</v>
      </c>
      <c r="T20" s="4">
        <f xml:space="preserve">  Time!T$243</f>
        <v>0</v>
      </c>
      <c r="U20" s="4">
        <f xml:space="preserve">  Time!U$243</f>
        <v>0</v>
      </c>
      <c r="V20" s="4">
        <f xml:space="preserve">  Time!V$243</f>
        <v>0</v>
      </c>
      <c r="W20" s="4">
        <f xml:space="preserve">  Time!W$243</f>
        <v>0</v>
      </c>
      <c r="X20" s="4">
        <f xml:space="preserve">  Time!X$243</f>
        <v>0</v>
      </c>
      <c r="Y20" s="4">
        <f xml:space="preserve">  Time!Y$243</f>
        <v>0</v>
      </c>
      <c r="Z20" s="4">
        <f xml:space="preserve">  Time!Z$243</f>
        <v>0</v>
      </c>
      <c r="AA20" s="4">
        <f xml:space="preserve">  Time!AA$243</f>
        <v>0</v>
      </c>
      <c r="AB20" s="4">
        <f xml:space="preserve">  Time!AB$243</f>
        <v>0</v>
      </c>
      <c r="AC20" s="4">
        <f xml:space="preserve">  Time!AC$243</f>
        <v>0</v>
      </c>
      <c r="AD20" s="4">
        <f xml:space="preserve">  Time!AD$243</f>
        <v>0</v>
      </c>
      <c r="AE20" s="4">
        <f xml:space="preserve">  Time!AE$243</f>
        <v>0</v>
      </c>
      <c r="AF20" s="4">
        <f xml:space="preserve">  Time!AF$243</f>
        <v>0</v>
      </c>
      <c r="AG20" s="4">
        <f xml:space="preserve">  Time!AG$243</f>
        <v>0</v>
      </c>
      <c r="AH20" s="4">
        <f xml:space="preserve">  Time!AH$243</f>
        <v>0</v>
      </c>
      <c r="AI20" s="4">
        <f xml:space="preserve">  Time!AI$243</f>
        <v>0</v>
      </c>
      <c r="AJ20" s="4">
        <f xml:space="preserve">  Time!AJ$243</f>
        <v>0</v>
      </c>
      <c r="AK20" s="4">
        <f xml:space="preserve">  Time!AK$243</f>
        <v>0</v>
      </c>
      <c r="AL20" s="4">
        <f xml:space="preserve">  Time!AL$243</f>
        <v>0</v>
      </c>
      <c r="AM20" s="4">
        <f xml:space="preserve">  Time!AM$243</f>
        <v>0</v>
      </c>
      <c r="AN20" s="4">
        <f xml:space="preserve">  Time!AN$243</f>
        <v>0</v>
      </c>
      <c r="AO20" s="4">
        <f xml:space="preserve">  Time!AO$243</f>
        <v>0</v>
      </c>
      <c r="AP20" s="4">
        <f xml:space="preserve">  Time!AP$243</f>
        <v>0</v>
      </c>
      <c r="AQ20" s="4">
        <f xml:space="preserve">  Time!AQ$243</f>
        <v>0</v>
      </c>
      <c r="AR20" s="4">
        <f xml:space="preserve">  Time!AR$243</f>
        <v>0</v>
      </c>
      <c r="AS20" s="4">
        <f xml:space="preserve">  Time!AS$243</f>
        <v>0</v>
      </c>
      <c r="AT20" s="4">
        <f xml:space="preserve">  Time!AT$243</f>
        <v>0</v>
      </c>
      <c r="AU20" s="4">
        <f xml:space="preserve">  Time!AU$243</f>
        <v>0</v>
      </c>
      <c r="AV20" s="4">
        <f xml:space="preserve">  Time!AV$243</f>
        <v>0</v>
      </c>
      <c r="AW20" s="4">
        <f xml:space="preserve">  Time!AW$243</f>
        <v>0</v>
      </c>
      <c r="AX20" s="4">
        <f xml:space="preserve">  Time!AX$243</f>
        <v>0</v>
      </c>
      <c r="AY20" s="4">
        <f xml:space="preserve">  Time!AY$243</f>
        <v>0</v>
      </c>
      <c r="AZ20" s="4">
        <f xml:space="preserve">  Time!AZ$243</f>
        <v>0</v>
      </c>
      <c r="BA20" s="4">
        <f xml:space="preserve">  Time!BA$243</f>
        <v>0</v>
      </c>
      <c r="BB20" s="4">
        <f xml:space="preserve">  Time!BB$243</f>
        <v>0</v>
      </c>
      <c r="BC20" s="4">
        <f xml:space="preserve">  Time!BC$243</f>
        <v>0</v>
      </c>
      <c r="BD20" s="4">
        <f xml:space="preserve">  Time!BD$243</f>
        <v>0</v>
      </c>
      <c r="BE20" s="4">
        <f xml:space="preserve">  Time!BE$243</f>
        <v>0</v>
      </c>
      <c r="BF20" s="4">
        <f xml:space="preserve">  Time!BF$243</f>
        <v>0</v>
      </c>
      <c r="BG20" s="4">
        <f xml:space="preserve">  Time!BG$243</f>
        <v>0</v>
      </c>
      <c r="BH20" s="4">
        <f xml:space="preserve">  Time!BH$243</f>
        <v>0</v>
      </c>
      <c r="BI20" s="4">
        <f xml:space="preserve">  Time!BI$243</f>
        <v>0</v>
      </c>
      <c r="BJ20" s="4">
        <f xml:space="preserve">  Time!BJ$243</f>
        <v>0</v>
      </c>
      <c r="BK20" s="4">
        <f xml:space="preserve">  Time!BK$243</f>
        <v>0</v>
      </c>
      <c r="BL20" s="4">
        <f xml:space="preserve">  Time!BL$243</f>
        <v>0</v>
      </c>
      <c r="BM20" s="4">
        <f xml:space="preserve">  Time!BM$243</f>
        <v>0</v>
      </c>
      <c r="BN20" s="4">
        <f xml:space="preserve">  Time!BN$243</f>
        <v>0</v>
      </c>
      <c r="BO20" s="4">
        <f xml:space="preserve">  Time!BO$243</f>
        <v>0</v>
      </c>
      <c r="BP20" s="4">
        <f xml:space="preserve">  Time!BP$243</f>
        <v>0</v>
      </c>
      <c r="BQ20" s="4">
        <f xml:space="preserve">  Time!BQ$243</f>
        <v>0</v>
      </c>
    </row>
    <row r="21" spans="1:69" outlineLevel="1">
      <c r="A21" s="34"/>
      <c r="B21" s="34"/>
      <c r="C21" s="64"/>
      <c r="D21" s="65"/>
      <c r="E21" s="21" t="s">
        <v>13</v>
      </c>
      <c r="F21" s="21"/>
      <c r="G21" s="21" t="s">
        <v>257</v>
      </c>
      <c r="H21" s="3">
        <f ca="1" xml:space="preserve"> SUM( J21:BQ21 )</f>
        <v>0</v>
      </c>
      <c r="I21" s="21"/>
      <c r="J21" s="3">
        <f t="shared" ref="J21:BQ21" ca="1" si="5" xml:space="preserve">  J20 * J19 * $F18</f>
        <v>0</v>
      </c>
      <c r="K21" s="3">
        <f t="shared" ca="1" si="5"/>
        <v>0</v>
      </c>
      <c r="L21" s="3">
        <f t="shared" ca="1" si="5"/>
        <v>0</v>
      </c>
      <c r="M21" s="3">
        <f t="shared" ca="1" si="5"/>
        <v>0</v>
      </c>
      <c r="N21" s="3">
        <f t="shared" ca="1" si="5"/>
        <v>0</v>
      </c>
      <c r="O21" s="3">
        <f t="shared" ca="1" si="5"/>
        <v>0</v>
      </c>
      <c r="P21" s="3">
        <f t="shared" ca="1" si="5"/>
        <v>0</v>
      </c>
      <c r="Q21" s="3">
        <f t="shared" ca="1" si="5"/>
        <v>0</v>
      </c>
      <c r="R21" s="3">
        <f t="shared" ca="1" si="5"/>
        <v>0</v>
      </c>
      <c r="S21" s="3">
        <f t="shared" ca="1" si="5"/>
        <v>0</v>
      </c>
      <c r="T21" s="3">
        <f t="shared" ca="1" si="5"/>
        <v>0</v>
      </c>
      <c r="U21" s="3">
        <f t="shared" ca="1" si="5"/>
        <v>0</v>
      </c>
      <c r="V21" s="3">
        <f t="shared" ca="1" si="5"/>
        <v>0</v>
      </c>
      <c r="W21" s="3">
        <f t="shared" ca="1" si="5"/>
        <v>0</v>
      </c>
      <c r="X21" s="3">
        <f t="shared" ca="1" si="5"/>
        <v>0</v>
      </c>
      <c r="Y21" s="3">
        <f t="shared" ca="1" si="5"/>
        <v>0</v>
      </c>
      <c r="Z21" s="3">
        <f t="shared" ca="1" si="5"/>
        <v>0</v>
      </c>
      <c r="AA21" s="3">
        <f t="shared" ca="1" si="5"/>
        <v>0</v>
      </c>
      <c r="AB21" s="3">
        <f t="shared" ca="1" si="5"/>
        <v>0</v>
      </c>
      <c r="AC21" s="3">
        <f t="shared" ca="1" si="5"/>
        <v>0</v>
      </c>
      <c r="AD21" s="3">
        <f t="shared" ca="1" si="5"/>
        <v>0</v>
      </c>
      <c r="AE21" s="3">
        <f t="shared" ca="1" si="5"/>
        <v>0</v>
      </c>
      <c r="AF21" s="3">
        <f t="shared" ca="1" si="5"/>
        <v>0</v>
      </c>
      <c r="AG21" s="3">
        <f t="shared" ca="1" si="5"/>
        <v>0</v>
      </c>
      <c r="AH21" s="3">
        <f t="shared" ca="1" si="5"/>
        <v>0</v>
      </c>
      <c r="AI21" s="3">
        <f t="shared" ca="1" si="5"/>
        <v>0</v>
      </c>
      <c r="AJ21" s="3">
        <f t="shared" ca="1" si="5"/>
        <v>0</v>
      </c>
      <c r="AK21" s="3">
        <f t="shared" ca="1" si="5"/>
        <v>0</v>
      </c>
      <c r="AL21" s="3">
        <f t="shared" ca="1" si="5"/>
        <v>0</v>
      </c>
      <c r="AM21" s="3">
        <f t="shared" ca="1" si="5"/>
        <v>0</v>
      </c>
      <c r="AN21" s="3">
        <f t="shared" ca="1" si="5"/>
        <v>0</v>
      </c>
      <c r="AO21" s="3">
        <f t="shared" ca="1" si="5"/>
        <v>0</v>
      </c>
      <c r="AP21" s="3">
        <f t="shared" ca="1" si="5"/>
        <v>0</v>
      </c>
      <c r="AQ21" s="3">
        <f t="shared" ca="1" si="5"/>
        <v>0</v>
      </c>
      <c r="AR21" s="3">
        <f t="shared" ca="1" si="5"/>
        <v>0</v>
      </c>
      <c r="AS21" s="3">
        <f t="shared" ca="1" si="5"/>
        <v>0</v>
      </c>
      <c r="AT21" s="3">
        <f t="shared" ca="1" si="5"/>
        <v>0</v>
      </c>
      <c r="AU21" s="3">
        <f t="shared" ca="1" si="5"/>
        <v>0</v>
      </c>
      <c r="AV21" s="3">
        <f t="shared" ca="1" si="5"/>
        <v>0</v>
      </c>
      <c r="AW21" s="3">
        <f t="shared" ca="1" si="5"/>
        <v>0</v>
      </c>
      <c r="AX21" s="3">
        <f t="shared" ca="1" si="5"/>
        <v>0</v>
      </c>
      <c r="AY21" s="3">
        <f t="shared" ca="1" si="5"/>
        <v>0</v>
      </c>
      <c r="AZ21" s="3">
        <f t="shared" ca="1" si="5"/>
        <v>0</v>
      </c>
      <c r="BA21" s="3">
        <f t="shared" ca="1" si="5"/>
        <v>0</v>
      </c>
      <c r="BB21" s="3">
        <f t="shared" ca="1" si="5"/>
        <v>0</v>
      </c>
      <c r="BC21" s="3">
        <f t="shared" ca="1" si="5"/>
        <v>0</v>
      </c>
      <c r="BD21" s="3">
        <f t="shared" ca="1" si="5"/>
        <v>0</v>
      </c>
      <c r="BE21" s="3">
        <f t="shared" ca="1" si="5"/>
        <v>0</v>
      </c>
      <c r="BF21" s="3">
        <f t="shared" ca="1" si="5"/>
        <v>0</v>
      </c>
      <c r="BG21" s="3">
        <f t="shared" ca="1" si="5"/>
        <v>0</v>
      </c>
      <c r="BH21" s="3">
        <f t="shared" ca="1" si="5"/>
        <v>0</v>
      </c>
      <c r="BI21" s="3">
        <f t="shared" ca="1" si="5"/>
        <v>0</v>
      </c>
      <c r="BJ21" s="3">
        <f t="shared" ca="1" si="5"/>
        <v>0</v>
      </c>
      <c r="BK21" s="3">
        <f t="shared" ca="1" si="5"/>
        <v>0</v>
      </c>
      <c r="BL21" s="3">
        <f t="shared" ca="1" si="5"/>
        <v>0</v>
      </c>
      <c r="BM21" s="3">
        <f t="shared" ca="1" si="5"/>
        <v>0</v>
      </c>
      <c r="BN21" s="3">
        <f t="shared" ca="1" si="5"/>
        <v>0</v>
      </c>
      <c r="BO21" s="3">
        <f t="shared" ca="1" si="5"/>
        <v>0</v>
      </c>
      <c r="BP21" s="3">
        <f t="shared" ca="1" si="5"/>
        <v>0</v>
      </c>
      <c r="BQ21" s="3">
        <f t="shared" ca="1" si="5"/>
        <v>0</v>
      </c>
    </row>
    <row r="24" spans="1:69">
      <c r="B24" s="25" t="s">
        <v>82</v>
      </c>
    </row>
    <row r="25" spans="1:69" outlineLevel="1">
      <c r="A25" s="18"/>
      <c r="B25" s="18"/>
      <c r="C25" s="28"/>
      <c r="D25" s="27"/>
      <c r="E25" s="4" t="str">
        <f xml:space="preserve">  InpC!E$20</f>
        <v>Customer payment terms (months)</v>
      </c>
      <c r="F25" s="4">
        <f xml:space="preserve">  InpC!F$20</f>
        <v>2</v>
      </c>
      <c r="G25" s="4" t="str">
        <f xml:space="preserve">  InpC!G$20</f>
        <v>Months</v>
      </c>
      <c r="M25" s="2"/>
    </row>
    <row r="26" spans="1:69" outlineLevel="1">
      <c r="E26" s="2" t="str">
        <f t="shared" ref="E26:BQ26" si="6" xml:space="preserve">  E$21</f>
        <v>Invoice finance drawdown</v>
      </c>
      <c r="F26" s="2">
        <f t="shared" si="6"/>
        <v>0</v>
      </c>
      <c r="G26" s="2" t="str">
        <f t="shared" si="6"/>
        <v>GBP</v>
      </c>
      <c r="H26" s="2">
        <f t="shared" ca="1" si="6"/>
        <v>0</v>
      </c>
      <c r="I26" s="2">
        <f t="shared" si="6"/>
        <v>0</v>
      </c>
      <c r="J26" s="2">
        <f t="shared" ca="1" si="6"/>
        <v>0</v>
      </c>
      <c r="K26" s="2">
        <f t="shared" ca="1" si="6"/>
        <v>0</v>
      </c>
      <c r="L26" s="2">
        <f t="shared" ca="1" si="6"/>
        <v>0</v>
      </c>
      <c r="M26" s="2">
        <f t="shared" ca="1" si="6"/>
        <v>0</v>
      </c>
      <c r="N26" s="2">
        <f t="shared" ca="1" si="6"/>
        <v>0</v>
      </c>
      <c r="O26" s="2">
        <f t="shared" ca="1" si="6"/>
        <v>0</v>
      </c>
      <c r="P26" s="2">
        <f t="shared" ca="1" si="6"/>
        <v>0</v>
      </c>
      <c r="Q26" s="2">
        <f t="shared" ca="1" si="6"/>
        <v>0</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1">
      <c r="E27" s="47" t="s">
        <v>90</v>
      </c>
      <c r="G27" s="47" t="s">
        <v>257</v>
      </c>
      <c r="H27" s="2">
        <f t="shared" ref="H27:H28" ca="1" si="7" xml:space="preserve"> SUM( J27:BQ27 )</f>
        <v>0</v>
      </c>
      <c r="J27" s="2">
        <f ca="1" xml:space="preserve">  IF( Time!J28 &lt; 1 + $F25, 0, OFFSET( J26, 0, - 1 * ( $F25 ) ) )</f>
        <v>0</v>
      </c>
      <c r="K27" s="2">
        <f ca="1" xml:space="preserve">  IF( Time!K28 &lt; 1 + $F25, 0, OFFSET( K26, 0, - 1 * ( $F25 ) ) )</f>
        <v>0</v>
      </c>
      <c r="L27" s="2">
        <f ca="1" xml:space="preserve">  IF( Time!L28 &lt; 1 + $F25, 0, OFFSET( L26, 0, - 1 * ( $F25 ) ) )</f>
        <v>0</v>
      </c>
      <c r="M27" s="2">
        <f ca="1" xml:space="preserve">  IF( Time!M28 &lt; 1 + $F25, 0, OFFSET( M26, 0, - 1 * ( $F25 ) ) )</f>
        <v>0</v>
      </c>
      <c r="N27" s="2">
        <f ca="1" xml:space="preserve">  IF( Time!N28 &lt; 1 + $F25, 0, OFFSET( N26, 0, - 1 * ( $F25 ) ) )</f>
        <v>0</v>
      </c>
      <c r="O27" s="2">
        <f ca="1" xml:space="preserve">  IF( Time!O28 &lt; 1 + $F25, 0, OFFSET( O26, 0, - 1 * ( $F25 ) ) )</f>
        <v>0</v>
      </c>
      <c r="P27" s="2">
        <f ca="1" xml:space="preserve">  IF( Time!P28 &lt; 1 + $F25, 0, OFFSET( P26, 0, - 1 * ( $F25 ) ) )</f>
        <v>0</v>
      </c>
      <c r="Q27" s="2">
        <f ca="1" xml:space="preserve">  IF( Time!Q28 &lt; 1 + $F25, 0, OFFSET( Q26, 0, - 1 * ( $F25 ) ) )</f>
        <v>0</v>
      </c>
      <c r="R27" s="2">
        <f ca="1" xml:space="preserve">  IF( Time!R28 &lt; 1 + $F25, 0, OFFSET( R26, 0, - 1 * ( $F25 ) ) )</f>
        <v>0</v>
      </c>
      <c r="S27" s="2">
        <f ca="1" xml:space="preserve">  IF( Time!S28 &lt; 1 + $F25, 0, OFFSET( S26, 0, - 1 * ( $F25 ) ) )</f>
        <v>0</v>
      </c>
      <c r="T27" s="2">
        <f ca="1" xml:space="preserve">  IF( Time!T28 &lt; 1 + $F25, 0, OFFSET( T26, 0, - 1 * ( $F25 ) ) )</f>
        <v>0</v>
      </c>
      <c r="U27" s="2">
        <f ca="1" xml:space="preserve">  IF( Time!U28 &lt; 1 + $F25, 0, OFFSET( U26, 0, - 1 * ( $F25 ) ) )</f>
        <v>0</v>
      </c>
      <c r="V27" s="2">
        <f ca="1" xml:space="preserve">  IF( Time!V28 &lt; 1 + $F25, 0, OFFSET( V26, 0, - 1 * ( $F25 ) ) )</f>
        <v>0</v>
      </c>
      <c r="W27" s="2">
        <f ca="1" xml:space="preserve">  IF( Time!W28 &lt; 1 + $F25, 0, OFFSET( W26, 0, - 1 * ( $F25 ) ) )</f>
        <v>0</v>
      </c>
      <c r="X27" s="2">
        <f ca="1" xml:space="preserve">  IF( Time!X28 &lt; 1 + $F25, 0, OFFSET( X26, 0, - 1 * ( $F25 ) ) )</f>
        <v>0</v>
      </c>
      <c r="Y27" s="2">
        <f ca="1" xml:space="preserve">  IF( Time!Y28 &lt; 1 + $F25, 0, OFFSET( Y26, 0, - 1 * ( $F25 ) ) )</f>
        <v>0</v>
      </c>
      <c r="Z27" s="2">
        <f ca="1" xml:space="preserve">  IF( Time!Z28 &lt; 1 + $F25, 0, OFFSET( Z26, 0, - 1 * ( $F25 ) ) )</f>
        <v>0</v>
      </c>
      <c r="AA27" s="2">
        <f ca="1" xml:space="preserve">  IF( Time!AA28 &lt; 1 + $F25, 0, OFFSET( AA26, 0, - 1 * ( $F25 ) ) )</f>
        <v>0</v>
      </c>
      <c r="AB27" s="2">
        <f ca="1" xml:space="preserve">  IF( Time!AB28 &lt; 1 + $F25, 0, OFFSET( AB26, 0, - 1 * ( $F25 ) ) )</f>
        <v>0</v>
      </c>
      <c r="AC27" s="2">
        <f ca="1" xml:space="preserve">  IF( Time!AC28 &lt; 1 + $F25, 0, OFFSET( AC26, 0, - 1 * ( $F25 ) ) )</f>
        <v>0</v>
      </c>
      <c r="AD27" s="2">
        <f ca="1" xml:space="preserve">  IF( Time!AD28 &lt; 1 + $F25, 0, OFFSET( AD26, 0, - 1 * ( $F25 ) ) )</f>
        <v>0</v>
      </c>
      <c r="AE27" s="2">
        <f ca="1" xml:space="preserve">  IF( Time!AE28 &lt; 1 + $F25, 0, OFFSET( AE26, 0, - 1 * ( $F25 ) ) )</f>
        <v>0</v>
      </c>
      <c r="AF27" s="2">
        <f ca="1" xml:space="preserve">  IF( Time!AF28 &lt; 1 + $F25, 0, OFFSET( AF26, 0, - 1 * ( $F25 ) ) )</f>
        <v>0</v>
      </c>
      <c r="AG27" s="2">
        <f ca="1" xml:space="preserve">  IF( Time!AG28 &lt; 1 + $F25, 0, OFFSET( AG26, 0, - 1 * ( $F25 ) ) )</f>
        <v>0</v>
      </c>
      <c r="AH27" s="2">
        <f ca="1" xml:space="preserve">  IF( Time!AH28 &lt; 1 + $F25, 0, OFFSET( AH26, 0, - 1 * ( $F25 ) ) )</f>
        <v>0</v>
      </c>
      <c r="AI27" s="2">
        <f ca="1" xml:space="preserve">  IF( Time!AI28 &lt; 1 + $F25, 0, OFFSET( AI26, 0, - 1 * ( $F25 ) ) )</f>
        <v>0</v>
      </c>
      <c r="AJ27" s="2">
        <f ca="1" xml:space="preserve">  IF( Time!AJ28 &lt; 1 + $F25, 0, OFFSET( AJ26, 0, - 1 * ( $F25 ) ) )</f>
        <v>0</v>
      </c>
      <c r="AK27" s="2">
        <f ca="1" xml:space="preserve">  IF( Time!AK28 &lt; 1 + $F25, 0, OFFSET( AK26, 0, - 1 * ( $F25 ) ) )</f>
        <v>0</v>
      </c>
      <c r="AL27" s="2">
        <f ca="1" xml:space="preserve">  IF( Time!AL28 &lt; 1 + $F25, 0, OFFSET( AL26, 0, - 1 * ( $F25 ) ) )</f>
        <v>0</v>
      </c>
      <c r="AM27" s="2">
        <f ca="1" xml:space="preserve">  IF( Time!AM28 &lt; 1 + $F25, 0, OFFSET( AM26, 0, - 1 * ( $F25 ) ) )</f>
        <v>0</v>
      </c>
      <c r="AN27" s="2">
        <f ca="1" xml:space="preserve">  IF( Time!AN28 &lt; 1 + $F25, 0, OFFSET( AN26, 0, - 1 * ( $F25 ) ) )</f>
        <v>0</v>
      </c>
      <c r="AO27" s="2">
        <f ca="1" xml:space="preserve">  IF( Time!AO28 &lt; 1 + $F25, 0, OFFSET( AO26, 0, - 1 * ( $F25 ) ) )</f>
        <v>0</v>
      </c>
      <c r="AP27" s="2">
        <f ca="1" xml:space="preserve">  IF( Time!AP28 &lt; 1 + $F25, 0, OFFSET( AP26, 0, - 1 * ( $F25 ) ) )</f>
        <v>0</v>
      </c>
      <c r="AQ27" s="2">
        <f ca="1" xml:space="preserve">  IF( Time!AQ28 &lt; 1 + $F25, 0, OFFSET( AQ26, 0, - 1 * ( $F25 ) ) )</f>
        <v>0</v>
      </c>
      <c r="AR27" s="2">
        <f ca="1" xml:space="preserve">  IF( Time!AR28 &lt; 1 + $F25, 0, OFFSET( AR26, 0, - 1 * ( $F25 ) ) )</f>
        <v>0</v>
      </c>
      <c r="AS27" s="2">
        <f ca="1" xml:space="preserve">  IF( Time!AS28 &lt; 1 + $F25, 0, OFFSET( AS26, 0, - 1 * ( $F25 ) ) )</f>
        <v>0</v>
      </c>
      <c r="AT27" s="2">
        <f ca="1" xml:space="preserve">  IF( Time!AT28 &lt; 1 + $F25, 0, OFFSET( AT26, 0, - 1 * ( $F25 ) ) )</f>
        <v>0</v>
      </c>
      <c r="AU27" s="2">
        <f ca="1" xml:space="preserve">  IF( Time!AU28 &lt; 1 + $F25, 0, OFFSET( AU26, 0, - 1 * ( $F25 ) ) )</f>
        <v>0</v>
      </c>
      <c r="AV27" s="2">
        <f ca="1" xml:space="preserve">  IF( Time!AV28 &lt; 1 + $F25, 0, OFFSET( AV26, 0, - 1 * ( $F25 ) ) )</f>
        <v>0</v>
      </c>
      <c r="AW27" s="2">
        <f ca="1" xml:space="preserve">  IF( Time!AW28 &lt; 1 + $F25, 0, OFFSET( AW26, 0, - 1 * ( $F25 ) ) )</f>
        <v>0</v>
      </c>
      <c r="AX27" s="2">
        <f ca="1" xml:space="preserve">  IF( Time!AX28 &lt; 1 + $F25, 0, OFFSET( AX26, 0, - 1 * ( $F25 ) ) )</f>
        <v>0</v>
      </c>
      <c r="AY27" s="2">
        <f ca="1" xml:space="preserve">  IF( Time!AY28 &lt; 1 + $F25, 0, OFFSET( AY26, 0, - 1 * ( $F25 ) ) )</f>
        <v>0</v>
      </c>
      <c r="AZ27" s="2">
        <f ca="1" xml:space="preserve">  IF( Time!AZ28 &lt; 1 + $F25, 0, OFFSET( AZ26, 0, - 1 * ( $F25 ) ) )</f>
        <v>0</v>
      </c>
      <c r="BA27" s="2">
        <f ca="1" xml:space="preserve">  IF( Time!BA28 &lt; 1 + $F25, 0, OFFSET( BA26, 0, - 1 * ( $F25 ) ) )</f>
        <v>0</v>
      </c>
      <c r="BB27" s="2">
        <f ca="1" xml:space="preserve">  IF( Time!BB28 &lt; 1 + $F25, 0, OFFSET( BB26, 0, - 1 * ( $F25 ) ) )</f>
        <v>0</v>
      </c>
      <c r="BC27" s="2">
        <f ca="1" xml:space="preserve">  IF( Time!BC28 &lt; 1 + $F25, 0, OFFSET( BC26, 0, - 1 * ( $F25 ) ) )</f>
        <v>0</v>
      </c>
      <c r="BD27" s="2">
        <f ca="1" xml:space="preserve">  IF( Time!BD28 &lt; 1 + $F25, 0, OFFSET( BD26, 0, - 1 * ( $F25 ) ) )</f>
        <v>0</v>
      </c>
      <c r="BE27" s="2">
        <f ca="1" xml:space="preserve">  IF( Time!BE28 &lt; 1 + $F25, 0, OFFSET( BE26, 0, - 1 * ( $F25 ) ) )</f>
        <v>0</v>
      </c>
      <c r="BF27" s="2">
        <f ca="1" xml:space="preserve">  IF( Time!BF28 &lt; 1 + $F25, 0, OFFSET( BF26, 0, - 1 * ( $F25 ) ) )</f>
        <v>0</v>
      </c>
      <c r="BG27" s="2">
        <f ca="1" xml:space="preserve">  IF( Time!BG28 &lt; 1 + $F25, 0, OFFSET( BG26, 0, - 1 * ( $F25 ) ) )</f>
        <v>0</v>
      </c>
      <c r="BH27" s="2">
        <f ca="1" xml:space="preserve">  IF( Time!BH28 &lt; 1 + $F25, 0, OFFSET( BH26, 0, - 1 * ( $F25 ) ) )</f>
        <v>0</v>
      </c>
      <c r="BI27" s="2">
        <f ca="1" xml:space="preserve">  IF( Time!BI28 &lt; 1 + $F25, 0, OFFSET( BI26, 0, - 1 * ( $F25 ) ) )</f>
        <v>0</v>
      </c>
      <c r="BJ27" s="2">
        <f ca="1" xml:space="preserve">  IF( Time!BJ28 &lt; 1 + $F25, 0, OFFSET( BJ26, 0, - 1 * ( $F25 ) ) )</f>
        <v>0</v>
      </c>
      <c r="BK27" s="2">
        <f ca="1" xml:space="preserve">  IF( Time!BK28 &lt; 1 + $F25, 0, OFFSET( BK26, 0, - 1 * ( $F25 ) ) )</f>
        <v>0</v>
      </c>
      <c r="BL27" s="2">
        <f ca="1" xml:space="preserve">  IF( Time!BL28 &lt; 1 + $F25, 0, OFFSET( BL26, 0, - 1 * ( $F25 ) ) )</f>
        <v>0</v>
      </c>
      <c r="BM27" s="2">
        <f ca="1" xml:space="preserve">  IF( Time!BM28 &lt; 1 + $F25, 0, OFFSET( BM26, 0, - 1 * ( $F25 ) ) )</f>
        <v>0</v>
      </c>
      <c r="BN27" s="2">
        <f ca="1" xml:space="preserve">  IF( Time!BN28 &lt; 1 + $F25, 0, OFFSET( BN26, 0, - 1 * ( $F25 ) ) )</f>
        <v>0</v>
      </c>
      <c r="BO27" s="2">
        <f ca="1" xml:space="preserve">  IF( Time!BO28 &lt; 1 + $F25, 0, OFFSET( BO26, 0, - 1 * ( $F25 ) ) )</f>
        <v>0</v>
      </c>
      <c r="BP27" s="2">
        <f ca="1" xml:space="preserve">  IF( Time!BP28 &lt; 1 + $F25, 0, OFFSET( BP26, 0, - 1 * ( $F25 ) ) )</f>
        <v>0</v>
      </c>
      <c r="BQ27" s="2">
        <f ca="1" xml:space="preserve">  IF( Time!BQ28 &lt; 1 + $F25, 0, OFFSET( BQ26, 0, - 1 * ( $F25 ) ) )</f>
        <v>0</v>
      </c>
    </row>
    <row r="28" spans="1:69" outlineLevel="1">
      <c r="A28" s="34"/>
      <c r="B28" s="34"/>
      <c r="C28" s="64"/>
      <c r="D28" s="65"/>
      <c r="E28" s="21" t="str">
        <f xml:space="preserve"> LEFT($E$27, LEN($E$27) - 3 )</f>
        <v xml:space="preserve">Invoice finance principal repayment </v>
      </c>
      <c r="F28" s="21"/>
      <c r="G28" s="21" t="str">
        <f xml:space="preserve"> G$27</f>
        <v>GBP</v>
      </c>
      <c r="H28" s="3">
        <f t="shared" ca="1" si="7"/>
        <v>0</v>
      </c>
      <c r="I28" s="21"/>
      <c r="J28" s="3">
        <f t="shared" ref="J28:BQ28" ca="1" si="8" xml:space="preserve"> -1 * J27</f>
        <v>0</v>
      </c>
      <c r="K28" s="3">
        <f t="shared" ca="1" si="8"/>
        <v>0</v>
      </c>
      <c r="L28" s="3">
        <f t="shared" ca="1" si="8"/>
        <v>0</v>
      </c>
      <c r="M28" s="3">
        <f t="shared" ca="1" si="8"/>
        <v>0</v>
      </c>
      <c r="N28" s="3">
        <f t="shared" ca="1" si="8"/>
        <v>0</v>
      </c>
      <c r="O28" s="3">
        <f t="shared" ca="1" si="8"/>
        <v>0</v>
      </c>
      <c r="P28" s="3">
        <f t="shared" ca="1" si="8"/>
        <v>0</v>
      </c>
      <c r="Q28" s="3">
        <f t="shared" ca="1" si="8"/>
        <v>0</v>
      </c>
      <c r="R28" s="3">
        <f t="shared" ca="1" si="8"/>
        <v>0</v>
      </c>
      <c r="S28" s="3">
        <f t="shared" ca="1" si="8"/>
        <v>0</v>
      </c>
      <c r="T28" s="3">
        <f t="shared" ca="1" si="8"/>
        <v>0</v>
      </c>
      <c r="U28" s="3">
        <f t="shared" ca="1" si="8"/>
        <v>0</v>
      </c>
      <c r="V28" s="3">
        <f t="shared" ca="1" si="8"/>
        <v>0</v>
      </c>
      <c r="W28" s="3">
        <f t="shared" ca="1" si="8"/>
        <v>0</v>
      </c>
      <c r="X28" s="3">
        <f t="shared" ca="1" si="8"/>
        <v>0</v>
      </c>
      <c r="Y28" s="3">
        <f t="shared" ca="1" si="8"/>
        <v>0</v>
      </c>
      <c r="Z28" s="3">
        <f t="shared" ca="1" si="8"/>
        <v>0</v>
      </c>
      <c r="AA28" s="3">
        <f t="shared" ca="1" si="8"/>
        <v>0</v>
      </c>
      <c r="AB28" s="3">
        <f t="shared" ca="1" si="8"/>
        <v>0</v>
      </c>
      <c r="AC28" s="3">
        <f t="shared" ca="1" si="8"/>
        <v>0</v>
      </c>
      <c r="AD28" s="3">
        <f t="shared" ca="1" si="8"/>
        <v>0</v>
      </c>
      <c r="AE28" s="3">
        <f t="shared" ca="1" si="8"/>
        <v>0</v>
      </c>
      <c r="AF28" s="3">
        <f t="shared" ca="1" si="8"/>
        <v>0</v>
      </c>
      <c r="AG28" s="3">
        <f t="shared" ca="1" si="8"/>
        <v>0</v>
      </c>
      <c r="AH28" s="3">
        <f t="shared" ca="1" si="8"/>
        <v>0</v>
      </c>
      <c r="AI28" s="3">
        <f t="shared" ca="1" si="8"/>
        <v>0</v>
      </c>
      <c r="AJ28" s="3">
        <f t="shared" ca="1" si="8"/>
        <v>0</v>
      </c>
      <c r="AK28" s="3">
        <f t="shared" ca="1" si="8"/>
        <v>0</v>
      </c>
      <c r="AL28" s="3">
        <f t="shared" ca="1" si="8"/>
        <v>0</v>
      </c>
      <c r="AM28" s="3">
        <f t="shared" ca="1" si="8"/>
        <v>0</v>
      </c>
      <c r="AN28" s="3">
        <f t="shared" ca="1" si="8"/>
        <v>0</v>
      </c>
      <c r="AO28" s="3">
        <f t="shared" ca="1" si="8"/>
        <v>0</v>
      </c>
      <c r="AP28" s="3">
        <f t="shared" ca="1" si="8"/>
        <v>0</v>
      </c>
      <c r="AQ28" s="3">
        <f t="shared" ca="1" si="8"/>
        <v>0</v>
      </c>
      <c r="AR28" s="3">
        <f t="shared" ca="1" si="8"/>
        <v>0</v>
      </c>
      <c r="AS28" s="3">
        <f t="shared" ca="1" si="8"/>
        <v>0</v>
      </c>
      <c r="AT28" s="3">
        <f t="shared" ca="1" si="8"/>
        <v>0</v>
      </c>
      <c r="AU28" s="3">
        <f t="shared" ca="1" si="8"/>
        <v>0</v>
      </c>
      <c r="AV28" s="3">
        <f t="shared" ca="1" si="8"/>
        <v>0</v>
      </c>
      <c r="AW28" s="3">
        <f t="shared" ca="1" si="8"/>
        <v>0</v>
      </c>
      <c r="AX28" s="3">
        <f t="shared" ca="1" si="8"/>
        <v>0</v>
      </c>
      <c r="AY28" s="3">
        <f t="shared" ca="1" si="8"/>
        <v>0</v>
      </c>
      <c r="AZ28" s="3">
        <f t="shared" ca="1" si="8"/>
        <v>0</v>
      </c>
      <c r="BA28" s="3">
        <f t="shared" ca="1" si="8"/>
        <v>0</v>
      </c>
      <c r="BB28" s="3">
        <f t="shared" ca="1" si="8"/>
        <v>0</v>
      </c>
      <c r="BC28" s="3">
        <f t="shared" ca="1" si="8"/>
        <v>0</v>
      </c>
      <c r="BD28" s="3">
        <f t="shared" ca="1" si="8"/>
        <v>0</v>
      </c>
      <c r="BE28" s="3">
        <f t="shared" ca="1" si="8"/>
        <v>0</v>
      </c>
      <c r="BF28" s="3">
        <f t="shared" ca="1" si="8"/>
        <v>0</v>
      </c>
      <c r="BG28" s="3">
        <f t="shared" ca="1" si="8"/>
        <v>0</v>
      </c>
      <c r="BH28" s="3">
        <f t="shared" ca="1" si="8"/>
        <v>0</v>
      </c>
      <c r="BI28" s="3">
        <f t="shared" ca="1" si="8"/>
        <v>0</v>
      </c>
      <c r="BJ28" s="3">
        <f t="shared" ca="1" si="8"/>
        <v>0</v>
      </c>
      <c r="BK28" s="3">
        <f t="shared" ca="1" si="8"/>
        <v>0</v>
      </c>
      <c r="BL28" s="3">
        <f t="shared" ca="1" si="8"/>
        <v>0</v>
      </c>
      <c r="BM28" s="3">
        <f t="shared" ca="1" si="8"/>
        <v>0</v>
      </c>
      <c r="BN28" s="3">
        <f t="shared" ca="1" si="8"/>
        <v>0</v>
      </c>
      <c r="BO28" s="3">
        <f t="shared" ca="1" si="8"/>
        <v>0</v>
      </c>
      <c r="BP28" s="3">
        <f t="shared" ca="1" si="8"/>
        <v>0</v>
      </c>
      <c r="BQ28" s="3">
        <f t="shared" ca="1" si="8"/>
        <v>0</v>
      </c>
    </row>
    <row r="31" spans="1:69">
      <c r="B31" s="25" t="s">
        <v>200</v>
      </c>
    </row>
    <row r="32" spans="1:69" outlineLevel="1">
      <c r="E32" s="2" t="str">
        <f t="shared" ref="E32:BQ32" si="9" xml:space="preserve">  E$40</f>
        <v>Invoice finance interest POS</v>
      </c>
      <c r="F32" s="2">
        <f t="shared" si="9"/>
        <v>0</v>
      </c>
      <c r="G32" s="2" t="str">
        <f t="shared" si="9"/>
        <v>GBP</v>
      </c>
      <c r="H32" s="2">
        <f t="shared" ca="1" si="9"/>
        <v>0</v>
      </c>
      <c r="I32" s="2">
        <f t="shared" si="9"/>
        <v>0</v>
      </c>
      <c r="J32" s="2">
        <f t="shared" si="9"/>
        <v>0</v>
      </c>
      <c r="K32" s="2">
        <f t="shared" ca="1" si="9"/>
        <v>0</v>
      </c>
      <c r="L32" s="2">
        <f t="shared" ca="1" si="9"/>
        <v>0</v>
      </c>
      <c r="M32" s="2">
        <f t="shared" ca="1" si="9"/>
        <v>0</v>
      </c>
      <c r="N32" s="2">
        <f t="shared" ca="1" si="9"/>
        <v>0</v>
      </c>
      <c r="O32" s="2">
        <f t="shared" ca="1" si="9"/>
        <v>0</v>
      </c>
      <c r="P32" s="2">
        <f t="shared" ca="1" si="9"/>
        <v>0</v>
      </c>
      <c r="Q32" s="2">
        <f t="shared" ca="1" si="9"/>
        <v>0</v>
      </c>
      <c r="R32" s="2">
        <f t="shared" ca="1" si="9"/>
        <v>0</v>
      </c>
      <c r="S32" s="2">
        <f t="shared" ca="1" si="9"/>
        <v>0</v>
      </c>
      <c r="T32" s="2">
        <f t="shared" ca="1" si="9"/>
        <v>0</v>
      </c>
      <c r="U32" s="2">
        <f t="shared" ca="1" si="9"/>
        <v>0</v>
      </c>
      <c r="V32" s="2">
        <f t="shared" ca="1" si="9"/>
        <v>0</v>
      </c>
      <c r="W32" s="2">
        <f t="shared" ca="1" si="9"/>
        <v>0</v>
      </c>
      <c r="X32" s="2">
        <f t="shared" ca="1" si="9"/>
        <v>0</v>
      </c>
      <c r="Y32" s="2">
        <f t="shared" ca="1" si="9"/>
        <v>0</v>
      </c>
      <c r="Z32" s="2">
        <f t="shared" ca="1" si="9"/>
        <v>0</v>
      </c>
      <c r="AA32" s="2">
        <f t="shared" ca="1" si="9"/>
        <v>0</v>
      </c>
      <c r="AB32" s="2">
        <f t="shared" ca="1" si="9"/>
        <v>0</v>
      </c>
      <c r="AC32" s="2">
        <f t="shared" ca="1" si="9"/>
        <v>0</v>
      </c>
      <c r="AD32" s="2">
        <f t="shared" ca="1" si="9"/>
        <v>0</v>
      </c>
      <c r="AE32" s="2">
        <f t="shared" ca="1" si="9"/>
        <v>0</v>
      </c>
      <c r="AF32" s="2">
        <f t="shared" ca="1" si="9"/>
        <v>0</v>
      </c>
      <c r="AG32" s="2">
        <f t="shared" ca="1" si="9"/>
        <v>0</v>
      </c>
      <c r="AH32" s="2">
        <f t="shared" ca="1" si="9"/>
        <v>0</v>
      </c>
      <c r="AI32" s="2">
        <f t="shared" ca="1" si="9"/>
        <v>0</v>
      </c>
      <c r="AJ32" s="2">
        <f t="shared" ca="1" si="9"/>
        <v>0</v>
      </c>
      <c r="AK32" s="2">
        <f t="shared" ca="1" si="9"/>
        <v>0</v>
      </c>
      <c r="AL32" s="2">
        <f t="shared" ca="1" si="9"/>
        <v>0</v>
      </c>
      <c r="AM32" s="2">
        <f t="shared" ca="1" si="9"/>
        <v>0</v>
      </c>
      <c r="AN32" s="2">
        <f t="shared" ca="1" si="9"/>
        <v>0</v>
      </c>
      <c r="AO32" s="2">
        <f t="shared" ca="1" si="9"/>
        <v>0</v>
      </c>
      <c r="AP32" s="2">
        <f t="shared" ca="1" si="9"/>
        <v>0</v>
      </c>
      <c r="AQ32" s="2">
        <f t="shared" ca="1" si="9"/>
        <v>0</v>
      </c>
      <c r="AR32" s="2">
        <f t="shared" ca="1" si="9"/>
        <v>0</v>
      </c>
      <c r="AS32" s="2">
        <f t="shared" ca="1" si="9"/>
        <v>0</v>
      </c>
      <c r="AT32" s="2">
        <f t="shared" ca="1" si="9"/>
        <v>0</v>
      </c>
      <c r="AU32" s="2">
        <f t="shared" ca="1" si="9"/>
        <v>0</v>
      </c>
      <c r="AV32" s="2">
        <f t="shared" ca="1" si="9"/>
        <v>0</v>
      </c>
      <c r="AW32" s="2">
        <f t="shared" ca="1" si="9"/>
        <v>0</v>
      </c>
      <c r="AX32" s="2">
        <f t="shared" ca="1" si="9"/>
        <v>0</v>
      </c>
      <c r="AY32" s="2">
        <f t="shared" ca="1" si="9"/>
        <v>0</v>
      </c>
      <c r="AZ32" s="2">
        <f t="shared" ca="1" si="9"/>
        <v>0</v>
      </c>
      <c r="BA32" s="2">
        <f t="shared" ca="1" si="9"/>
        <v>0</v>
      </c>
      <c r="BB32" s="2">
        <f t="shared" ca="1" si="9"/>
        <v>0</v>
      </c>
      <c r="BC32" s="2">
        <f t="shared" ca="1" si="9"/>
        <v>0</v>
      </c>
      <c r="BD32" s="2">
        <f t="shared" ca="1" si="9"/>
        <v>0</v>
      </c>
      <c r="BE32" s="2">
        <f t="shared" ca="1" si="9"/>
        <v>0</v>
      </c>
      <c r="BF32" s="2">
        <f t="shared" ca="1" si="9"/>
        <v>0</v>
      </c>
      <c r="BG32" s="2">
        <f t="shared" ca="1" si="9"/>
        <v>0</v>
      </c>
      <c r="BH32" s="2">
        <f t="shared" ca="1" si="9"/>
        <v>0</v>
      </c>
      <c r="BI32" s="2">
        <f t="shared" ca="1" si="9"/>
        <v>0</v>
      </c>
      <c r="BJ32" s="2">
        <f t="shared" ca="1" si="9"/>
        <v>0</v>
      </c>
      <c r="BK32" s="2">
        <f t="shared" ca="1" si="9"/>
        <v>0</v>
      </c>
      <c r="BL32" s="2">
        <f t="shared" ca="1" si="9"/>
        <v>0</v>
      </c>
      <c r="BM32" s="2">
        <f t="shared" ca="1" si="9"/>
        <v>0</v>
      </c>
      <c r="BN32" s="2">
        <f t="shared" ca="1" si="9"/>
        <v>0</v>
      </c>
      <c r="BO32" s="2">
        <f t="shared" ca="1" si="9"/>
        <v>0</v>
      </c>
      <c r="BP32" s="2">
        <f t="shared" ca="1" si="9"/>
        <v>0</v>
      </c>
      <c r="BQ32" s="2">
        <f t="shared" ca="1" si="9"/>
        <v>0</v>
      </c>
    </row>
    <row r="33" spans="1:69" outlineLevel="1">
      <c r="E33" s="2" t="str">
        <f t="shared" ref="E33:BQ33" si="10" xml:space="preserve">  E$46</f>
        <v>Invoice finance interest paid POS</v>
      </c>
      <c r="F33" s="2">
        <f t="shared" si="10"/>
        <v>0</v>
      </c>
      <c r="G33" s="2" t="str">
        <f t="shared" si="10"/>
        <v>GBP</v>
      </c>
      <c r="H33" s="2">
        <f t="shared" ca="1" si="10"/>
        <v>0</v>
      </c>
      <c r="I33" s="2">
        <f t="shared" si="10"/>
        <v>0</v>
      </c>
      <c r="J33" s="2">
        <f t="shared" si="10"/>
        <v>0</v>
      </c>
      <c r="K33" s="2">
        <f t="shared" ca="1" si="10"/>
        <v>0</v>
      </c>
      <c r="L33" s="2">
        <f t="shared" ca="1" si="10"/>
        <v>0</v>
      </c>
      <c r="M33" s="2">
        <f t="shared" ca="1" si="10"/>
        <v>0</v>
      </c>
      <c r="N33" s="2">
        <f t="shared" ca="1" si="10"/>
        <v>0</v>
      </c>
      <c r="O33" s="2">
        <f t="shared" ca="1" si="10"/>
        <v>0</v>
      </c>
      <c r="P33" s="2">
        <f t="shared" ca="1" si="10"/>
        <v>0</v>
      </c>
      <c r="Q33" s="2">
        <f t="shared" ca="1" si="10"/>
        <v>0</v>
      </c>
      <c r="R33" s="2">
        <f t="shared" ca="1" si="10"/>
        <v>0</v>
      </c>
      <c r="S33" s="2">
        <f t="shared" ca="1" si="10"/>
        <v>0</v>
      </c>
      <c r="T33" s="2">
        <f t="shared" ca="1" si="10"/>
        <v>0</v>
      </c>
      <c r="U33" s="2">
        <f t="shared" ca="1" si="10"/>
        <v>0</v>
      </c>
      <c r="V33" s="2">
        <f t="shared" ca="1" si="10"/>
        <v>0</v>
      </c>
      <c r="W33" s="2">
        <f t="shared" ca="1" si="10"/>
        <v>0</v>
      </c>
      <c r="X33" s="2">
        <f t="shared" ca="1" si="10"/>
        <v>0</v>
      </c>
      <c r="Y33" s="2">
        <f t="shared" ca="1" si="10"/>
        <v>0</v>
      </c>
      <c r="Z33" s="2">
        <f t="shared" ca="1" si="10"/>
        <v>0</v>
      </c>
      <c r="AA33" s="2">
        <f t="shared" ca="1" si="10"/>
        <v>0</v>
      </c>
      <c r="AB33" s="2">
        <f t="shared" ca="1" si="10"/>
        <v>0</v>
      </c>
      <c r="AC33" s="2">
        <f t="shared" ca="1" si="10"/>
        <v>0</v>
      </c>
      <c r="AD33" s="2">
        <f t="shared" ca="1" si="10"/>
        <v>0</v>
      </c>
      <c r="AE33" s="2">
        <f t="shared" ca="1" si="10"/>
        <v>0</v>
      </c>
      <c r="AF33" s="2">
        <f t="shared" ca="1" si="10"/>
        <v>0</v>
      </c>
      <c r="AG33" s="2">
        <f t="shared" ca="1" si="10"/>
        <v>0</v>
      </c>
      <c r="AH33" s="2">
        <f t="shared" ca="1" si="10"/>
        <v>0</v>
      </c>
      <c r="AI33" s="2">
        <f t="shared" ca="1" si="10"/>
        <v>0</v>
      </c>
      <c r="AJ33" s="2">
        <f t="shared" ca="1" si="10"/>
        <v>0</v>
      </c>
      <c r="AK33" s="2">
        <f t="shared" ca="1" si="10"/>
        <v>0</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47" t="s">
        <v>200</v>
      </c>
      <c r="G34" s="47" t="s">
        <v>257</v>
      </c>
      <c r="H34" s="2">
        <f ca="1" xml:space="preserve"> SUM( J34:BQ34 )</f>
        <v>0</v>
      </c>
      <c r="J34" s="2">
        <f t="shared" ref="J34:BQ34" si="11" xml:space="preserve">  J32 - J33</f>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7" spans="1:69">
      <c r="B37" s="25" t="s">
        <v>131</v>
      </c>
    </row>
    <row r="38" spans="1:69" outlineLevel="1">
      <c r="E38" s="57" t="str">
        <f t="shared" ref="E38:G38" si="12" xml:space="preserve">  E$54</f>
        <v>Invoice finance period interest rate</v>
      </c>
      <c r="F38" s="57">
        <f t="shared" si="12"/>
        <v>7.0833333333333338E-3</v>
      </c>
      <c r="G38" s="57" t="str">
        <f t="shared" si="12"/>
        <v>%</v>
      </c>
      <c r="M38" s="57"/>
    </row>
    <row r="39" spans="1:69" outlineLevel="1">
      <c r="E39" s="2" t="str">
        <f t="shared" ref="E39:BQ39" si="13" xml:space="preserve">  E$11</f>
        <v>Invoice finance balance BEG</v>
      </c>
      <c r="F39" s="2">
        <f t="shared" si="13"/>
        <v>0</v>
      </c>
      <c r="G39" s="2" t="str">
        <f t="shared" si="13"/>
        <v>GBP</v>
      </c>
      <c r="H39" s="2">
        <f t="shared" si="13"/>
        <v>0</v>
      </c>
      <c r="I39" s="2">
        <f t="shared" si="13"/>
        <v>0</v>
      </c>
      <c r="J39" s="2">
        <f t="shared" si="13"/>
        <v>0</v>
      </c>
      <c r="K39" s="2">
        <f t="shared" ca="1" si="13"/>
        <v>0</v>
      </c>
      <c r="L39" s="2">
        <f t="shared" ca="1" si="13"/>
        <v>0</v>
      </c>
      <c r="M39" s="2">
        <f t="shared" ca="1" si="13"/>
        <v>0</v>
      </c>
      <c r="N39" s="2">
        <f t="shared" ca="1" si="13"/>
        <v>0</v>
      </c>
      <c r="O39" s="2">
        <f t="shared" ca="1" si="13"/>
        <v>0</v>
      </c>
      <c r="P39" s="2">
        <f t="shared" ca="1" si="13"/>
        <v>0</v>
      </c>
      <c r="Q39" s="2">
        <f t="shared" ca="1" si="13"/>
        <v>0</v>
      </c>
      <c r="R39" s="2">
        <f t="shared" ca="1" si="13"/>
        <v>0</v>
      </c>
      <c r="S39" s="2">
        <f t="shared" ca="1" si="13"/>
        <v>0</v>
      </c>
      <c r="T39" s="2">
        <f t="shared" ca="1" si="13"/>
        <v>0</v>
      </c>
      <c r="U39" s="2">
        <f t="shared" ca="1" si="13"/>
        <v>0</v>
      </c>
      <c r="V39" s="2">
        <f t="shared" ca="1" si="13"/>
        <v>0</v>
      </c>
      <c r="W39" s="2">
        <f t="shared" ca="1" si="13"/>
        <v>0</v>
      </c>
      <c r="X39" s="2">
        <f t="shared" ca="1" si="13"/>
        <v>0</v>
      </c>
      <c r="Y39" s="2">
        <f t="shared" ca="1" si="13"/>
        <v>0</v>
      </c>
      <c r="Z39" s="2">
        <f t="shared" ca="1" si="13"/>
        <v>0</v>
      </c>
      <c r="AA39" s="2">
        <f t="shared" ca="1" si="13"/>
        <v>0</v>
      </c>
      <c r="AB39" s="2">
        <f t="shared" ca="1" si="13"/>
        <v>0</v>
      </c>
      <c r="AC39" s="2">
        <f t="shared" ca="1" si="13"/>
        <v>0</v>
      </c>
      <c r="AD39" s="2">
        <f t="shared" ca="1" si="13"/>
        <v>0</v>
      </c>
      <c r="AE39" s="2">
        <f t="shared" ca="1" si="13"/>
        <v>0</v>
      </c>
      <c r="AF39" s="2">
        <f t="shared" ca="1" si="13"/>
        <v>0</v>
      </c>
      <c r="AG39" s="2">
        <f t="shared" ca="1" si="13"/>
        <v>0</v>
      </c>
      <c r="AH39" s="2">
        <f t="shared" ca="1" si="13"/>
        <v>0</v>
      </c>
      <c r="AI39" s="2">
        <f t="shared" ca="1" si="13"/>
        <v>0</v>
      </c>
      <c r="AJ39" s="2">
        <f t="shared" ca="1" si="13"/>
        <v>0</v>
      </c>
      <c r="AK39" s="2">
        <f t="shared" ca="1" si="13"/>
        <v>0</v>
      </c>
      <c r="AL39" s="2">
        <f t="shared" ca="1" si="13"/>
        <v>0</v>
      </c>
      <c r="AM39" s="2">
        <f t="shared" ca="1" si="13"/>
        <v>0</v>
      </c>
      <c r="AN39" s="2">
        <f t="shared" ca="1" si="13"/>
        <v>0</v>
      </c>
      <c r="AO39" s="2">
        <f t="shared" ca="1" si="13"/>
        <v>0</v>
      </c>
      <c r="AP39" s="2">
        <f t="shared" ca="1" si="13"/>
        <v>0</v>
      </c>
      <c r="AQ39" s="2">
        <f t="shared" ca="1" si="13"/>
        <v>0</v>
      </c>
      <c r="AR39" s="2">
        <f t="shared" ca="1" si="13"/>
        <v>0</v>
      </c>
      <c r="AS39" s="2">
        <f t="shared" ca="1" si="13"/>
        <v>0</v>
      </c>
      <c r="AT39" s="2">
        <f t="shared" ca="1" si="13"/>
        <v>0</v>
      </c>
      <c r="AU39" s="2">
        <f t="shared" ca="1" si="13"/>
        <v>0</v>
      </c>
      <c r="AV39" s="2">
        <f t="shared" ca="1" si="13"/>
        <v>0</v>
      </c>
      <c r="AW39" s="2">
        <f t="shared" ca="1" si="13"/>
        <v>0</v>
      </c>
      <c r="AX39" s="2">
        <f t="shared" ca="1" si="13"/>
        <v>0</v>
      </c>
      <c r="AY39" s="2">
        <f t="shared" ca="1" si="13"/>
        <v>0</v>
      </c>
      <c r="AZ39" s="2">
        <f t="shared" ca="1" si="13"/>
        <v>0</v>
      </c>
      <c r="BA39" s="2">
        <f t="shared" ca="1" si="13"/>
        <v>0</v>
      </c>
      <c r="BB39" s="2">
        <f t="shared" ca="1" si="13"/>
        <v>0</v>
      </c>
      <c r="BC39" s="2">
        <f t="shared" ca="1" si="13"/>
        <v>0</v>
      </c>
      <c r="BD39" s="2">
        <f t="shared" ca="1" si="13"/>
        <v>0</v>
      </c>
      <c r="BE39" s="2">
        <f t="shared" ca="1" si="13"/>
        <v>0</v>
      </c>
      <c r="BF39" s="2">
        <f t="shared" ca="1" si="13"/>
        <v>0</v>
      </c>
      <c r="BG39" s="2">
        <f t="shared" ca="1" si="13"/>
        <v>0</v>
      </c>
      <c r="BH39" s="2">
        <f t="shared" ca="1" si="13"/>
        <v>0</v>
      </c>
      <c r="BI39" s="2">
        <f t="shared" ca="1" si="13"/>
        <v>0</v>
      </c>
      <c r="BJ39" s="2">
        <f t="shared" ca="1" si="13"/>
        <v>0</v>
      </c>
      <c r="BK39" s="2">
        <f t="shared" ca="1" si="13"/>
        <v>0</v>
      </c>
      <c r="BL39" s="2">
        <f t="shared" ca="1" si="13"/>
        <v>0</v>
      </c>
      <c r="BM39" s="2">
        <f t="shared" ca="1" si="13"/>
        <v>0</v>
      </c>
      <c r="BN39" s="2">
        <f t="shared" ca="1" si="13"/>
        <v>0</v>
      </c>
      <c r="BO39" s="2">
        <f t="shared" ca="1" si="13"/>
        <v>0</v>
      </c>
      <c r="BP39" s="2">
        <f t="shared" ca="1" si="13"/>
        <v>0</v>
      </c>
      <c r="BQ39" s="2">
        <f t="shared" ca="1" si="13"/>
        <v>0</v>
      </c>
    </row>
    <row r="40" spans="1:69" outlineLevel="1">
      <c r="E40" s="47" t="s">
        <v>250</v>
      </c>
      <c r="G40" s="47" t="s">
        <v>257</v>
      </c>
      <c r="H40" s="2">
        <f t="shared" ref="H40:H41" ca="1" si="14" xml:space="preserve"> SUM( J40:BQ40 )</f>
        <v>0</v>
      </c>
      <c r="J40" s="2">
        <f t="shared" ref="J40:BQ40" si="15" xml:space="preserve">  $F38 * J39</f>
        <v>0</v>
      </c>
      <c r="K40" s="2">
        <f t="shared" ca="1" si="15"/>
        <v>0</v>
      </c>
      <c r="L40" s="2">
        <f t="shared" ca="1" si="15"/>
        <v>0</v>
      </c>
      <c r="M40" s="2">
        <f t="shared" ca="1" si="15"/>
        <v>0</v>
      </c>
      <c r="N40" s="2">
        <f t="shared" ca="1" si="15"/>
        <v>0</v>
      </c>
      <c r="O40" s="2">
        <f t="shared" ca="1" si="15"/>
        <v>0</v>
      </c>
      <c r="P40" s="2">
        <f t="shared" ca="1" si="15"/>
        <v>0</v>
      </c>
      <c r="Q40" s="2">
        <f t="shared" ca="1" si="15"/>
        <v>0</v>
      </c>
      <c r="R40" s="2">
        <f t="shared" ca="1" si="15"/>
        <v>0</v>
      </c>
      <c r="S40" s="2">
        <f t="shared" ca="1" si="15"/>
        <v>0</v>
      </c>
      <c r="T40" s="2">
        <f t="shared" ca="1" si="15"/>
        <v>0</v>
      </c>
      <c r="U40" s="2">
        <f t="shared" ca="1" si="15"/>
        <v>0</v>
      </c>
      <c r="V40" s="2">
        <f t="shared" ca="1" si="15"/>
        <v>0</v>
      </c>
      <c r="W40" s="2">
        <f t="shared" ca="1" si="15"/>
        <v>0</v>
      </c>
      <c r="X40" s="2">
        <f t="shared" ca="1" si="15"/>
        <v>0</v>
      </c>
      <c r="Y40" s="2">
        <f t="shared" ca="1" si="15"/>
        <v>0</v>
      </c>
      <c r="Z40" s="2">
        <f t="shared" ca="1" si="15"/>
        <v>0</v>
      </c>
      <c r="AA40" s="2">
        <f t="shared" ca="1" si="15"/>
        <v>0</v>
      </c>
      <c r="AB40" s="2">
        <f t="shared" ca="1" si="15"/>
        <v>0</v>
      </c>
      <c r="AC40" s="2">
        <f t="shared" ca="1" si="15"/>
        <v>0</v>
      </c>
      <c r="AD40" s="2">
        <f t="shared" ca="1" si="15"/>
        <v>0</v>
      </c>
      <c r="AE40" s="2">
        <f t="shared" ca="1" si="15"/>
        <v>0</v>
      </c>
      <c r="AF40" s="2">
        <f t="shared" ca="1" si="15"/>
        <v>0</v>
      </c>
      <c r="AG40" s="2">
        <f t="shared" ca="1" si="15"/>
        <v>0</v>
      </c>
      <c r="AH40" s="2">
        <f t="shared" ca="1" si="15"/>
        <v>0</v>
      </c>
      <c r="AI40" s="2">
        <f t="shared" ca="1" si="15"/>
        <v>0</v>
      </c>
      <c r="AJ40" s="2">
        <f t="shared" ca="1" si="15"/>
        <v>0</v>
      </c>
      <c r="AK40" s="2">
        <f t="shared" ca="1" si="15"/>
        <v>0</v>
      </c>
      <c r="AL40" s="2">
        <f t="shared" ca="1" si="15"/>
        <v>0</v>
      </c>
      <c r="AM40" s="2">
        <f t="shared" ca="1" si="15"/>
        <v>0</v>
      </c>
      <c r="AN40" s="2">
        <f t="shared" ca="1" si="15"/>
        <v>0</v>
      </c>
      <c r="AO40" s="2">
        <f t="shared" ca="1" si="15"/>
        <v>0</v>
      </c>
      <c r="AP40" s="2">
        <f t="shared" ca="1" si="15"/>
        <v>0</v>
      </c>
      <c r="AQ40" s="2">
        <f t="shared" ca="1" si="15"/>
        <v>0</v>
      </c>
      <c r="AR40" s="2">
        <f t="shared" ca="1" si="15"/>
        <v>0</v>
      </c>
      <c r="AS40" s="2">
        <f t="shared" ca="1" si="15"/>
        <v>0</v>
      </c>
      <c r="AT40" s="2">
        <f t="shared" ca="1" si="15"/>
        <v>0</v>
      </c>
      <c r="AU40" s="2">
        <f t="shared" ca="1" si="15"/>
        <v>0</v>
      </c>
      <c r="AV40" s="2">
        <f t="shared" ca="1" si="15"/>
        <v>0</v>
      </c>
      <c r="AW40" s="2">
        <f t="shared" ca="1" si="15"/>
        <v>0</v>
      </c>
      <c r="AX40" s="2">
        <f t="shared" ca="1" si="15"/>
        <v>0</v>
      </c>
      <c r="AY40" s="2">
        <f t="shared" ca="1" si="15"/>
        <v>0</v>
      </c>
      <c r="AZ40" s="2">
        <f t="shared" ca="1" si="15"/>
        <v>0</v>
      </c>
      <c r="BA40" s="2">
        <f t="shared" ca="1" si="15"/>
        <v>0</v>
      </c>
      <c r="BB40" s="2">
        <f t="shared" ca="1" si="15"/>
        <v>0</v>
      </c>
      <c r="BC40" s="2">
        <f t="shared" ca="1" si="15"/>
        <v>0</v>
      </c>
      <c r="BD40" s="2">
        <f t="shared" ca="1" si="15"/>
        <v>0</v>
      </c>
      <c r="BE40" s="2">
        <f t="shared" ca="1" si="15"/>
        <v>0</v>
      </c>
      <c r="BF40" s="2">
        <f t="shared" ca="1" si="15"/>
        <v>0</v>
      </c>
      <c r="BG40" s="2">
        <f t="shared" ca="1" si="15"/>
        <v>0</v>
      </c>
      <c r="BH40" s="2">
        <f t="shared" ca="1" si="15"/>
        <v>0</v>
      </c>
      <c r="BI40" s="2">
        <f t="shared" ca="1" si="15"/>
        <v>0</v>
      </c>
      <c r="BJ40" s="2">
        <f t="shared" ca="1" si="15"/>
        <v>0</v>
      </c>
      <c r="BK40" s="2">
        <f t="shared" ca="1" si="15"/>
        <v>0</v>
      </c>
      <c r="BL40" s="2">
        <f t="shared" ca="1" si="15"/>
        <v>0</v>
      </c>
      <c r="BM40" s="2">
        <f t="shared" ca="1" si="15"/>
        <v>0</v>
      </c>
      <c r="BN40" s="2">
        <f t="shared" ca="1" si="15"/>
        <v>0</v>
      </c>
      <c r="BO40" s="2">
        <f t="shared" ca="1" si="15"/>
        <v>0</v>
      </c>
      <c r="BP40" s="2">
        <f t="shared" ca="1" si="15"/>
        <v>0</v>
      </c>
      <c r="BQ40" s="2">
        <f t="shared" ca="1" si="15"/>
        <v>0</v>
      </c>
    </row>
    <row r="41" spans="1:69" outlineLevel="1">
      <c r="A41" s="34"/>
      <c r="B41" s="34"/>
      <c r="C41" s="64"/>
      <c r="D41" s="65"/>
      <c r="E41" s="21" t="str">
        <f xml:space="preserve"> LEFT($E$40, LEN($E$40) - 3 )</f>
        <v xml:space="preserve">Invoice finance interest </v>
      </c>
      <c r="F41" s="21"/>
      <c r="G41" s="21" t="str">
        <f xml:space="preserve"> G$40</f>
        <v>GBP</v>
      </c>
      <c r="H41" s="3">
        <f t="shared" ca="1" si="14"/>
        <v>0</v>
      </c>
      <c r="I41" s="21"/>
      <c r="J41" s="3">
        <f t="shared" ref="J41:BQ41" si="16" xml:space="preserve"> -1 * J40</f>
        <v>0</v>
      </c>
      <c r="K41" s="3">
        <f t="shared" ca="1" si="16"/>
        <v>0</v>
      </c>
      <c r="L41" s="3">
        <f t="shared" ca="1" si="16"/>
        <v>0</v>
      </c>
      <c r="M41" s="3">
        <f t="shared" ca="1" si="16"/>
        <v>0</v>
      </c>
      <c r="N41" s="3">
        <f t="shared" ca="1" si="16"/>
        <v>0</v>
      </c>
      <c r="O41" s="3">
        <f t="shared" ca="1" si="16"/>
        <v>0</v>
      </c>
      <c r="P41" s="3">
        <f t="shared" ca="1" si="16"/>
        <v>0</v>
      </c>
      <c r="Q41" s="3">
        <f t="shared" ca="1" si="16"/>
        <v>0</v>
      </c>
      <c r="R41" s="3">
        <f t="shared" ca="1" si="16"/>
        <v>0</v>
      </c>
      <c r="S41" s="3">
        <f t="shared" ca="1" si="16"/>
        <v>0</v>
      </c>
      <c r="T41" s="3">
        <f t="shared" ca="1" si="16"/>
        <v>0</v>
      </c>
      <c r="U41" s="3">
        <f t="shared" ca="1" si="16"/>
        <v>0</v>
      </c>
      <c r="V41" s="3">
        <f t="shared" ca="1" si="16"/>
        <v>0</v>
      </c>
      <c r="W41" s="3">
        <f t="shared" ca="1" si="16"/>
        <v>0</v>
      </c>
      <c r="X41" s="3">
        <f t="shared" ca="1" si="16"/>
        <v>0</v>
      </c>
      <c r="Y41" s="3">
        <f t="shared" ca="1" si="16"/>
        <v>0</v>
      </c>
      <c r="Z41" s="3">
        <f t="shared" ca="1" si="16"/>
        <v>0</v>
      </c>
      <c r="AA41" s="3">
        <f t="shared" ca="1" si="16"/>
        <v>0</v>
      </c>
      <c r="AB41" s="3">
        <f t="shared" ca="1" si="16"/>
        <v>0</v>
      </c>
      <c r="AC41" s="3">
        <f t="shared" ca="1" si="16"/>
        <v>0</v>
      </c>
      <c r="AD41" s="3">
        <f t="shared" ca="1" si="16"/>
        <v>0</v>
      </c>
      <c r="AE41" s="3">
        <f t="shared" ca="1" si="16"/>
        <v>0</v>
      </c>
      <c r="AF41" s="3">
        <f t="shared" ca="1" si="16"/>
        <v>0</v>
      </c>
      <c r="AG41" s="3">
        <f t="shared" ca="1" si="16"/>
        <v>0</v>
      </c>
      <c r="AH41" s="3">
        <f t="shared" ca="1" si="16"/>
        <v>0</v>
      </c>
      <c r="AI41" s="3">
        <f t="shared" ca="1" si="16"/>
        <v>0</v>
      </c>
      <c r="AJ41" s="3">
        <f t="shared" ca="1" si="16"/>
        <v>0</v>
      </c>
      <c r="AK41" s="3">
        <f t="shared" ca="1" si="16"/>
        <v>0</v>
      </c>
      <c r="AL41" s="3">
        <f t="shared" ca="1" si="16"/>
        <v>0</v>
      </c>
      <c r="AM41" s="3">
        <f t="shared" ca="1" si="16"/>
        <v>0</v>
      </c>
      <c r="AN41" s="3">
        <f t="shared" ca="1" si="16"/>
        <v>0</v>
      </c>
      <c r="AO41" s="3">
        <f t="shared" ca="1" si="16"/>
        <v>0</v>
      </c>
      <c r="AP41" s="3">
        <f t="shared" ca="1" si="16"/>
        <v>0</v>
      </c>
      <c r="AQ41" s="3">
        <f t="shared" ca="1" si="16"/>
        <v>0</v>
      </c>
      <c r="AR41" s="3">
        <f t="shared" ca="1" si="16"/>
        <v>0</v>
      </c>
      <c r="AS41" s="3">
        <f t="shared" ca="1" si="16"/>
        <v>0</v>
      </c>
      <c r="AT41" s="3">
        <f t="shared" ca="1" si="16"/>
        <v>0</v>
      </c>
      <c r="AU41" s="3">
        <f t="shared" ca="1" si="16"/>
        <v>0</v>
      </c>
      <c r="AV41" s="3">
        <f t="shared" ca="1" si="16"/>
        <v>0</v>
      </c>
      <c r="AW41" s="3">
        <f t="shared" ca="1" si="16"/>
        <v>0</v>
      </c>
      <c r="AX41" s="3">
        <f t="shared" ca="1" si="16"/>
        <v>0</v>
      </c>
      <c r="AY41" s="3">
        <f t="shared" ca="1" si="16"/>
        <v>0</v>
      </c>
      <c r="AZ41" s="3">
        <f t="shared" ca="1" si="16"/>
        <v>0</v>
      </c>
      <c r="BA41" s="3">
        <f t="shared" ca="1" si="16"/>
        <v>0</v>
      </c>
      <c r="BB41" s="3">
        <f t="shared" ca="1" si="16"/>
        <v>0</v>
      </c>
      <c r="BC41" s="3">
        <f t="shared" ca="1" si="16"/>
        <v>0</v>
      </c>
      <c r="BD41" s="3">
        <f t="shared" ca="1" si="16"/>
        <v>0</v>
      </c>
      <c r="BE41" s="3">
        <f t="shared" ca="1" si="16"/>
        <v>0</v>
      </c>
      <c r="BF41" s="3">
        <f t="shared" ca="1" si="16"/>
        <v>0</v>
      </c>
      <c r="BG41" s="3">
        <f t="shared" ca="1" si="16"/>
        <v>0</v>
      </c>
      <c r="BH41" s="3">
        <f t="shared" ca="1" si="16"/>
        <v>0</v>
      </c>
      <c r="BI41" s="3">
        <f t="shared" ca="1" si="16"/>
        <v>0</v>
      </c>
      <c r="BJ41" s="3">
        <f t="shared" ca="1" si="16"/>
        <v>0</v>
      </c>
      <c r="BK41" s="3">
        <f t="shared" ca="1" si="16"/>
        <v>0</v>
      </c>
      <c r="BL41" s="3">
        <f t="shared" ca="1" si="16"/>
        <v>0</v>
      </c>
      <c r="BM41" s="3">
        <f t="shared" ca="1" si="16"/>
        <v>0</v>
      </c>
      <c r="BN41" s="3">
        <f t="shared" ca="1" si="16"/>
        <v>0</v>
      </c>
      <c r="BO41" s="3">
        <f t="shared" ca="1" si="16"/>
        <v>0</v>
      </c>
      <c r="BP41" s="3">
        <f t="shared" ca="1" si="16"/>
        <v>0</v>
      </c>
      <c r="BQ41" s="3">
        <f t="shared" ca="1" si="16"/>
        <v>0</v>
      </c>
    </row>
    <row r="44" spans="1:69">
      <c r="B44" s="25" t="s">
        <v>132</v>
      </c>
    </row>
    <row r="45" spans="1:69" outlineLevel="1">
      <c r="E45" s="2" t="str">
        <f t="shared" ref="E45:BQ45" si="17" xml:space="preserve">  E$40</f>
        <v>Invoice finance interest POS</v>
      </c>
      <c r="F45" s="2">
        <f t="shared" si="17"/>
        <v>0</v>
      </c>
      <c r="G45" s="2" t="str">
        <f t="shared" si="17"/>
        <v>GBP</v>
      </c>
      <c r="H45" s="2">
        <f t="shared" ca="1" si="17"/>
        <v>0</v>
      </c>
      <c r="I45" s="2">
        <f t="shared" si="17"/>
        <v>0</v>
      </c>
      <c r="J45" s="2">
        <f t="shared" si="17"/>
        <v>0</v>
      </c>
      <c r="K45" s="2">
        <f t="shared" ca="1" si="17"/>
        <v>0</v>
      </c>
      <c r="L45" s="2">
        <f t="shared" ca="1" si="17"/>
        <v>0</v>
      </c>
      <c r="M45" s="2">
        <f t="shared" ca="1" si="17"/>
        <v>0</v>
      </c>
      <c r="N45" s="2">
        <f t="shared" ca="1" si="17"/>
        <v>0</v>
      </c>
      <c r="O45" s="2">
        <f t="shared" ca="1" si="17"/>
        <v>0</v>
      </c>
      <c r="P45" s="2">
        <f t="shared" ca="1" si="17"/>
        <v>0</v>
      </c>
      <c r="Q45" s="2">
        <f t="shared" ca="1" si="17"/>
        <v>0</v>
      </c>
      <c r="R45" s="2">
        <f t="shared" ca="1" si="17"/>
        <v>0</v>
      </c>
      <c r="S45" s="2">
        <f t="shared" ca="1" si="17"/>
        <v>0</v>
      </c>
      <c r="T45" s="2">
        <f t="shared" ca="1" si="17"/>
        <v>0</v>
      </c>
      <c r="U45" s="2">
        <f t="shared" ca="1" si="17"/>
        <v>0</v>
      </c>
      <c r="V45" s="2">
        <f t="shared" ca="1" si="17"/>
        <v>0</v>
      </c>
      <c r="W45" s="2">
        <f t="shared" ca="1" si="17"/>
        <v>0</v>
      </c>
      <c r="X45" s="2">
        <f t="shared" ca="1" si="17"/>
        <v>0</v>
      </c>
      <c r="Y45" s="2">
        <f t="shared" ca="1" si="17"/>
        <v>0</v>
      </c>
      <c r="Z45" s="2">
        <f t="shared" ca="1" si="17"/>
        <v>0</v>
      </c>
      <c r="AA45" s="2">
        <f t="shared" ca="1" si="17"/>
        <v>0</v>
      </c>
      <c r="AB45" s="2">
        <f t="shared" ca="1" si="17"/>
        <v>0</v>
      </c>
      <c r="AC45" s="2">
        <f t="shared" ca="1" si="17"/>
        <v>0</v>
      </c>
      <c r="AD45" s="2">
        <f t="shared" ca="1" si="17"/>
        <v>0</v>
      </c>
      <c r="AE45" s="2">
        <f t="shared" ca="1" si="17"/>
        <v>0</v>
      </c>
      <c r="AF45" s="2">
        <f t="shared" ca="1" si="17"/>
        <v>0</v>
      </c>
      <c r="AG45" s="2">
        <f t="shared" ca="1" si="17"/>
        <v>0</v>
      </c>
      <c r="AH45" s="2">
        <f t="shared" ca="1" si="17"/>
        <v>0</v>
      </c>
      <c r="AI45" s="2">
        <f t="shared" ca="1" si="17"/>
        <v>0</v>
      </c>
      <c r="AJ45" s="2">
        <f t="shared" ca="1" si="17"/>
        <v>0</v>
      </c>
      <c r="AK45" s="2">
        <f t="shared" ca="1" si="17"/>
        <v>0</v>
      </c>
      <c r="AL45" s="2">
        <f t="shared" ca="1" si="17"/>
        <v>0</v>
      </c>
      <c r="AM45" s="2">
        <f t="shared" ca="1" si="17"/>
        <v>0</v>
      </c>
      <c r="AN45" s="2">
        <f t="shared" ca="1" si="17"/>
        <v>0</v>
      </c>
      <c r="AO45" s="2">
        <f t="shared" ca="1" si="17"/>
        <v>0</v>
      </c>
      <c r="AP45" s="2">
        <f t="shared" ca="1" si="17"/>
        <v>0</v>
      </c>
      <c r="AQ45" s="2">
        <f t="shared" ca="1" si="17"/>
        <v>0</v>
      </c>
      <c r="AR45" s="2">
        <f t="shared" ca="1" si="17"/>
        <v>0</v>
      </c>
      <c r="AS45" s="2">
        <f t="shared" ca="1" si="17"/>
        <v>0</v>
      </c>
      <c r="AT45" s="2">
        <f t="shared" ca="1" si="17"/>
        <v>0</v>
      </c>
      <c r="AU45" s="2">
        <f t="shared" ca="1" si="17"/>
        <v>0</v>
      </c>
      <c r="AV45" s="2">
        <f t="shared" ca="1" si="17"/>
        <v>0</v>
      </c>
      <c r="AW45" s="2">
        <f t="shared" ca="1" si="17"/>
        <v>0</v>
      </c>
      <c r="AX45" s="2">
        <f t="shared" ca="1" si="17"/>
        <v>0</v>
      </c>
      <c r="AY45" s="2">
        <f t="shared" ca="1" si="17"/>
        <v>0</v>
      </c>
      <c r="AZ45" s="2">
        <f t="shared" ca="1" si="17"/>
        <v>0</v>
      </c>
      <c r="BA45" s="2">
        <f t="shared" ca="1" si="17"/>
        <v>0</v>
      </c>
      <c r="BB45" s="2">
        <f t="shared" ca="1" si="17"/>
        <v>0</v>
      </c>
      <c r="BC45" s="2">
        <f t="shared" ca="1" si="17"/>
        <v>0</v>
      </c>
      <c r="BD45" s="2">
        <f t="shared" ca="1" si="17"/>
        <v>0</v>
      </c>
      <c r="BE45" s="2">
        <f t="shared" ca="1" si="17"/>
        <v>0</v>
      </c>
      <c r="BF45" s="2">
        <f t="shared" ca="1" si="17"/>
        <v>0</v>
      </c>
      <c r="BG45" s="2">
        <f t="shared" ca="1" si="17"/>
        <v>0</v>
      </c>
      <c r="BH45" s="2">
        <f t="shared" ca="1" si="17"/>
        <v>0</v>
      </c>
      <c r="BI45" s="2">
        <f t="shared" ca="1" si="17"/>
        <v>0</v>
      </c>
      <c r="BJ45" s="2">
        <f t="shared" ca="1" si="17"/>
        <v>0</v>
      </c>
      <c r="BK45" s="2">
        <f t="shared" ca="1" si="17"/>
        <v>0</v>
      </c>
      <c r="BL45" s="2">
        <f t="shared" ca="1" si="17"/>
        <v>0</v>
      </c>
      <c r="BM45" s="2">
        <f t="shared" ca="1" si="17"/>
        <v>0</v>
      </c>
      <c r="BN45" s="2">
        <f t="shared" ca="1" si="17"/>
        <v>0</v>
      </c>
      <c r="BO45" s="2">
        <f t="shared" ca="1" si="17"/>
        <v>0</v>
      </c>
      <c r="BP45" s="2">
        <f t="shared" ca="1" si="17"/>
        <v>0</v>
      </c>
      <c r="BQ45" s="2">
        <f t="shared" ca="1" si="17"/>
        <v>0</v>
      </c>
    </row>
    <row r="46" spans="1:69" outlineLevel="1">
      <c r="E46" s="47" t="s">
        <v>115</v>
      </c>
      <c r="G46" s="47" t="s">
        <v>257</v>
      </c>
      <c r="H46" s="2">
        <f t="shared" ref="H46:H47" ca="1" si="18" xml:space="preserve"> SUM( J46:BQ46 )</f>
        <v>0</v>
      </c>
      <c r="J46" s="2">
        <f t="shared" ref="J46:BQ46" si="19" xml:space="preserve">  J45</f>
        <v>0</v>
      </c>
      <c r="K46" s="2">
        <f t="shared" ca="1" si="19"/>
        <v>0</v>
      </c>
      <c r="L46" s="2">
        <f t="shared" ca="1" si="19"/>
        <v>0</v>
      </c>
      <c r="M46" s="2">
        <f t="shared" ca="1" si="19"/>
        <v>0</v>
      </c>
      <c r="N46" s="2">
        <f t="shared" ca="1" si="19"/>
        <v>0</v>
      </c>
      <c r="O46" s="2">
        <f t="shared" ca="1" si="19"/>
        <v>0</v>
      </c>
      <c r="P46" s="2">
        <f t="shared" ca="1" si="19"/>
        <v>0</v>
      </c>
      <c r="Q46" s="2">
        <f t="shared" ca="1" si="19"/>
        <v>0</v>
      </c>
      <c r="R46" s="2">
        <f t="shared" ca="1" si="19"/>
        <v>0</v>
      </c>
      <c r="S46" s="2">
        <f t="shared" ca="1" si="19"/>
        <v>0</v>
      </c>
      <c r="T46" s="2">
        <f t="shared" ca="1" si="19"/>
        <v>0</v>
      </c>
      <c r="U46" s="2">
        <f t="shared" ca="1" si="19"/>
        <v>0</v>
      </c>
      <c r="V46" s="2">
        <f t="shared" ca="1" si="19"/>
        <v>0</v>
      </c>
      <c r="W46" s="2">
        <f t="shared" ca="1" si="19"/>
        <v>0</v>
      </c>
      <c r="X46" s="2">
        <f t="shared" ca="1" si="19"/>
        <v>0</v>
      </c>
      <c r="Y46" s="2">
        <f t="shared" ca="1" si="19"/>
        <v>0</v>
      </c>
      <c r="Z46" s="2">
        <f t="shared" ca="1" si="19"/>
        <v>0</v>
      </c>
      <c r="AA46" s="2">
        <f t="shared" ca="1" si="19"/>
        <v>0</v>
      </c>
      <c r="AB46" s="2">
        <f t="shared" ca="1" si="19"/>
        <v>0</v>
      </c>
      <c r="AC46" s="2">
        <f t="shared" ca="1" si="19"/>
        <v>0</v>
      </c>
      <c r="AD46" s="2">
        <f t="shared" ca="1" si="19"/>
        <v>0</v>
      </c>
      <c r="AE46" s="2">
        <f t="shared" ca="1" si="19"/>
        <v>0</v>
      </c>
      <c r="AF46" s="2">
        <f t="shared" ca="1" si="19"/>
        <v>0</v>
      </c>
      <c r="AG46" s="2">
        <f t="shared" ca="1" si="19"/>
        <v>0</v>
      </c>
      <c r="AH46" s="2">
        <f t="shared" ca="1" si="19"/>
        <v>0</v>
      </c>
      <c r="AI46" s="2">
        <f t="shared" ca="1" si="19"/>
        <v>0</v>
      </c>
      <c r="AJ46" s="2">
        <f t="shared" ca="1" si="19"/>
        <v>0</v>
      </c>
      <c r="AK46" s="2">
        <f t="shared" ca="1" si="19"/>
        <v>0</v>
      </c>
      <c r="AL46" s="2">
        <f t="shared" ca="1" si="19"/>
        <v>0</v>
      </c>
      <c r="AM46" s="2">
        <f t="shared" ca="1" si="19"/>
        <v>0</v>
      </c>
      <c r="AN46" s="2">
        <f t="shared" ca="1" si="19"/>
        <v>0</v>
      </c>
      <c r="AO46" s="2">
        <f t="shared" ca="1" si="19"/>
        <v>0</v>
      </c>
      <c r="AP46" s="2">
        <f t="shared" ca="1" si="19"/>
        <v>0</v>
      </c>
      <c r="AQ46" s="2">
        <f t="shared" ca="1" si="19"/>
        <v>0</v>
      </c>
      <c r="AR46" s="2">
        <f t="shared" ca="1" si="19"/>
        <v>0</v>
      </c>
      <c r="AS46" s="2">
        <f t="shared" ca="1" si="19"/>
        <v>0</v>
      </c>
      <c r="AT46" s="2">
        <f t="shared" ca="1" si="19"/>
        <v>0</v>
      </c>
      <c r="AU46" s="2">
        <f t="shared" ca="1" si="19"/>
        <v>0</v>
      </c>
      <c r="AV46" s="2">
        <f t="shared" ca="1" si="19"/>
        <v>0</v>
      </c>
      <c r="AW46" s="2">
        <f t="shared" ca="1" si="19"/>
        <v>0</v>
      </c>
      <c r="AX46" s="2">
        <f t="shared" ca="1" si="19"/>
        <v>0</v>
      </c>
      <c r="AY46" s="2">
        <f t="shared" ca="1" si="19"/>
        <v>0</v>
      </c>
      <c r="AZ46" s="2">
        <f t="shared" ca="1" si="19"/>
        <v>0</v>
      </c>
      <c r="BA46" s="2">
        <f t="shared" ca="1" si="19"/>
        <v>0</v>
      </c>
      <c r="BB46" s="2">
        <f t="shared" ca="1" si="19"/>
        <v>0</v>
      </c>
      <c r="BC46" s="2">
        <f t="shared" ca="1" si="19"/>
        <v>0</v>
      </c>
      <c r="BD46" s="2">
        <f t="shared" ca="1" si="19"/>
        <v>0</v>
      </c>
      <c r="BE46" s="2">
        <f t="shared" ca="1" si="19"/>
        <v>0</v>
      </c>
      <c r="BF46" s="2">
        <f t="shared" ca="1" si="19"/>
        <v>0</v>
      </c>
      <c r="BG46" s="2">
        <f t="shared" ca="1" si="19"/>
        <v>0</v>
      </c>
      <c r="BH46" s="2">
        <f t="shared" ca="1" si="19"/>
        <v>0</v>
      </c>
      <c r="BI46" s="2">
        <f t="shared" ca="1" si="19"/>
        <v>0</v>
      </c>
      <c r="BJ46" s="2">
        <f t="shared" ca="1" si="19"/>
        <v>0</v>
      </c>
      <c r="BK46" s="2">
        <f t="shared" ca="1" si="19"/>
        <v>0</v>
      </c>
      <c r="BL46" s="2">
        <f t="shared" ca="1" si="19"/>
        <v>0</v>
      </c>
      <c r="BM46" s="2">
        <f t="shared" ca="1" si="19"/>
        <v>0</v>
      </c>
      <c r="BN46" s="2">
        <f t="shared" ca="1" si="19"/>
        <v>0</v>
      </c>
      <c r="BO46" s="2">
        <f t="shared" ca="1" si="19"/>
        <v>0</v>
      </c>
      <c r="BP46" s="2">
        <f t="shared" ca="1" si="19"/>
        <v>0</v>
      </c>
      <c r="BQ46" s="2">
        <f t="shared" ca="1" si="19"/>
        <v>0</v>
      </c>
    </row>
    <row r="47" spans="1:69" outlineLevel="1">
      <c r="A47" s="34"/>
      <c r="B47" s="34"/>
      <c r="C47" s="64"/>
      <c r="D47" s="65"/>
      <c r="E47" s="21" t="str">
        <f xml:space="preserve"> LEFT($E$46, LEN($E$46) - 3 )</f>
        <v xml:space="preserve">Invoice finance interest paid </v>
      </c>
      <c r="F47" s="21"/>
      <c r="G47" s="21" t="str">
        <f xml:space="preserve"> G$46</f>
        <v>GBP</v>
      </c>
      <c r="H47" s="3">
        <f t="shared" ca="1" si="18"/>
        <v>0</v>
      </c>
      <c r="I47" s="21"/>
      <c r="J47" s="3">
        <f t="shared" ref="J47:BQ47" si="20" xml:space="preserve"> -1 * J46</f>
        <v>0</v>
      </c>
      <c r="K47" s="3">
        <f t="shared" ca="1" si="20"/>
        <v>0</v>
      </c>
      <c r="L47" s="3">
        <f t="shared" ca="1" si="20"/>
        <v>0</v>
      </c>
      <c r="M47" s="3">
        <f t="shared" ca="1" si="20"/>
        <v>0</v>
      </c>
      <c r="N47" s="3">
        <f t="shared" ca="1" si="20"/>
        <v>0</v>
      </c>
      <c r="O47" s="3">
        <f t="shared" ca="1" si="20"/>
        <v>0</v>
      </c>
      <c r="P47" s="3">
        <f t="shared" ca="1" si="20"/>
        <v>0</v>
      </c>
      <c r="Q47" s="3">
        <f t="shared" ca="1" si="20"/>
        <v>0</v>
      </c>
      <c r="R47" s="3">
        <f t="shared" ca="1" si="20"/>
        <v>0</v>
      </c>
      <c r="S47" s="3">
        <f t="shared" ca="1" si="20"/>
        <v>0</v>
      </c>
      <c r="T47" s="3">
        <f t="shared" ca="1" si="20"/>
        <v>0</v>
      </c>
      <c r="U47" s="3">
        <f t="shared" ca="1" si="20"/>
        <v>0</v>
      </c>
      <c r="V47" s="3">
        <f t="shared" ca="1" si="20"/>
        <v>0</v>
      </c>
      <c r="W47" s="3">
        <f t="shared" ca="1" si="20"/>
        <v>0</v>
      </c>
      <c r="X47" s="3">
        <f t="shared" ca="1" si="20"/>
        <v>0</v>
      </c>
      <c r="Y47" s="3">
        <f t="shared" ca="1" si="20"/>
        <v>0</v>
      </c>
      <c r="Z47" s="3">
        <f t="shared" ca="1" si="20"/>
        <v>0</v>
      </c>
      <c r="AA47" s="3">
        <f t="shared" ca="1" si="20"/>
        <v>0</v>
      </c>
      <c r="AB47" s="3">
        <f t="shared" ca="1" si="20"/>
        <v>0</v>
      </c>
      <c r="AC47" s="3">
        <f t="shared" ca="1" si="20"/>
        <v>0</v>
      </c>
      <c r="AD47" s="3">
        <f t="shared" ca="1" si="20"/>
        <v>0</v>
      </c>
      <c r="AE47" s="3">
        <f t="shared" ca="1" si="20"/>
        <v>0</v>
      </c>
      <c r="AF47" s="3">
        <f t="shared" ca="1" si="20"/>
        <v>0</v>
      </c>
      <c r="AG47" s="3">
        <f t="shared" ca="1" si="20"/>
        <v>0</v>
      </c>
      <c r="AH47" s="3">
        <f t="shared" ca="1" si="20"/>
        <v>0</v>
      </c>
      <c r="AI47" s="3">
        <f t="shared" ca="1" si="20"/>
        <v>0</v>
      </c>
      <c r="AJ47" s="3">
        <f t="shared" ca="1" si="20"/>
        <v>0</v>
      </c>
      <c r="AK47" s="3">
        <f t="shared" ca="1" si="20"/>
        <v>0</v>
      </c>
      <c r="AL47" s="3">
        <f t="shared" ca="1" si="20"/>
        <v>0</v>
      </c>
      <c r="AM47" s="3">
        <f t="shared" ca="1" si="20"/>
        <v>0</v>
      </c>
      <c r="AN47" s="3">
        <f t="shared" ca="1" si="20"/>
        <v>0</v>
      </c>
      <c r="AO47" s="3">
        <f t="shared" ca="1" si="20"/>
        <v>0</v>
      </c>
      <c r="AP47" s="3">
        <f t="shared" ca="1" si="20"/>
        <v>0</v>
      </c>
      <c r="AQ47" s="3">
        <f t="shared" ca="1" si="20"/>
        <v>0</v>
      </c>
      <c r="AR47" s="3">
        <f t="shared" ca="1" si="20"/>
        <v>0</v>
      </c>
      <c r="AS47" s="3">
        <f t="shared" ca="1" si="20"/>
        <v>0</v>
      </c>
      <c r="AT47" s="3">
        <f t="shared" ca="1" si="20"/>
        <v>0</v>
      </c>
      <c r="AU47" s="3">
        <f t="shared" ca="1" si="20"/>
        <v>0</v>
      </c>
      <c r="AV47" s="3">
        <f t="shared" ca="1" si="20"/>
        <v>0</v>
      </c>
      <c r="AW47" s="3">
        <f t="shared" ca="1" si="20"/>
        <v>0</v>
      </c>
      <c r="AX47" s="3">
        <f t="shared" ca="1" si="20"/>
        <v>0</v>
      </c>
      <c r="AY47" s="3">
        <f t="shared" ca="1" si="20"/>
        <v>0</v>
      </c>
      <c r="AZ47" s="3">
        <f t="shared" ca="1" si="20"/>
        <v>0</v>
      </c>
      <c r="BA47" s="3">
        <f t="shared" ca="1" si="20"/>
        <v>0</v>
      </c>
      <c r="BB47" s="3">
        <f t="shared" ca="1" si="20"/>
        <v>0</v>
      </c>
      <c r="BC47" s="3">
        <f t="shared" ca="1" si="20"/>
        <v>0</v>
      </c>
      <c r="BD47" s="3">
        <f t="shared" ca="1" si="20"/>
        <v>0</v>
      </c>
      <c r="BE47" s="3">
        <f t="shared" ca="1" si="20"/>
        <v>0</v>
      </c>
      <c r="BF47" s="3">
        <f t="shared" ca="1" si="20"/>
        <v>0</v>
      </c>
      <c r="BG47" s="3">
        <f t="shared" ca="1" si="20"/>
        <v>0</v>
      </c>
      <c r="BH47" s="3">
        <f t="shared" ca="1" si="20"/>
        <v>0</v>
      </c>
      <c r="BI47" s="3">
        <f t="shared" ca="1" si="20"/>
        <v>0</v>
      </c>
      <c r="BJ47" s="3">
        <f t="shared" ca="1" si="20"/>
        <v>0</v>
      </c>
      <c r="BK47" s="3">
        <f t="shared" ca="1" si="20"/>
        <v>0</v>
      </c>
      <c r="BL47" s="3">
        <f t="shared" ca="1" si="20"/>
        <v>0</v>
      </c>
      <c r="BM47" s="3">
        <f t="shared" ca="1" si="20"/>
        <v>0</v>
      </c>
      <c r="BN47" s="3">
        <f t="shared" ca="1" si="20"/>
        <v>0</v>
      </c>
      <c r="BO47" s="3">
        <f t="shared" ca="1" si="20"/>
        <v>0</v>
      </c>
      <c r="BP47" s="3">
        <f t="shared" ca="1" si="20"/>
        <v>0</v>
      </c>
      <c r="BQ47" s="3">
        <f t="shared" ca="1" si="20"/>
        <v>0</v>
      </c>
    </row>
    <row r="50" spans="1:13">
      <c r="B50" s="25" t="s">
        <v>36</v>
      </c>
    </row>
    <row r="51" spans="1:13" outlineLevel="1">
      <c r="A51" s="18"/>
      <c r="B51" s="18"/>
      <c r="C51" s="28"/>
      <c r="D51" s="27"/>
      <c r="E51" s="43" t="str">
        <f xml:space="preserve">  InpC!E$64</f>
        <v>All in Invoice Finance annual interest rate</v>
      </c>
      <c r="F51" s="43">
        <f xml:space="preserve">  InpC!F$64</f>
        <v>8.5000000000000006E-2</v>
      </c>
      <c r="G51" s="43" t="str">
        <f xml:space="preserve">  InpC!G$64</f>
        <v>%</v>
      </c>
      <c r="M51" s="57"/>
    </row>
    <row r="52" spans="1:13" outlineLevel="1">
      <c r="A52" s="18"/>
      <c r="B52" s="18"/>
      <c r="C52" s="28"/>
      <c r="D52" s="27"/>
      <c r="E52" s="4" t="str">
        <f xml:space="preserve">  InpC!E$58</f>
        <v>debt day count convention</v>
      </c>
      <c r="F52" s="4">
        <f xml:space="preserve">  InpC!F$58</f>
        <v>360</v>
      </c>
      <c r="G52" s="4" t="str">
        <f xml:space="preserve">  InpC!G$58</f>
        <v>day</v>
      </c>
      <c r="M52" s="2"/>
    </row>
    <row r="53" spans="1:13" outlineLevel="1">
      <c r="A53" s="18"/>
      <c r="B53" s="18"/>
      <c r="C53" s="28"/>
      <c r="D53" s="27"/>
      <c r="E53" s="4" t="str">
        <f xml:space="preserve">  InpC!E$57</f>
        <v>Days in period</v>
      </c>
      <c r="F53" s="4">
        <f xml:space="preserve">  InpC!F$57</f>
        <v>30</v>
      </c>
      <c r="G53" s="4" t="str">
        <f xml:space="preserve">  InpC!G$57</f>
        <v>day</v>
      </c>
      <c r="M53" s="2"/>
    </row>
    <row r="54" spans="1:13" outlineLevel="1">
      <c r="E54" s="47" t="s">
        <v>36</v>
      </c>
      <c r="F54" s="57">
        <f xml:space="preserve">  $F51 / $F52 * $F53</f>
        <v>7.0833333333333338E-3</v>
      </c>
      <c r="G54" s="47" t="s">
        <v>209</v>
      </c>
      <c r="M54" s="57"/>
    </row>
    <row r="57" spans="1:13">
      <c r="B57" s="25" t="s">
        <v>271</v>
      </c>
    </row>
  </sheetData>
  <conditionalFormatting sqref="F2:F3">
    <cfRule type="cellIs" dxfId="196" priority="1" stopIfTrue="1" operator="notEqual">
      <formula>0</formula>
    </cfRule>
    <cfRule type="cellIs" dxfId="195" priority="2" stopIfTrue="1" operator="equal">
      <formula>""</formula>
    </cfRule>
  </conditionalFormatting>
  <conditionalFormatting sqref="J3:BQ3">
    <cfRule type="cellIs" dxfId="194" priority="8" operator="equal">
      <formula>"PPA ext."</formula>
    </cfRule>
    <cfRule type="cellIs" dxfId="193" priority="9" operator="equal">
      <formula>"Delay"</formula>
    </cfRule>
    <cfRule type="cellIs" dxfId="192" priority="10" operator="equal">
      <formula>"Fin Close"</formula>
    </cfRule>
    <cfRule type="cellIs" dxfId="191" priority="11" stopIfTrue="1" operator="equal">
      <formula>"Construction"</formula>
    </cfRule>
    <cfRule type="cellIs" dxfId="19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9.5546875" style="47" bestFit="1" customWidth="1"/>
    <col min="6" max="6" width="20.5546875" style="47" bestFit="1" customWidth="1"/>
    <col min="7" max="7" width="13.21875" style="47" bestFit="1" customWidth="1"/>
    <col min="8" max="8" width="11.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Supply Chain finance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133</v>
      </c>
    </row>
    <row r="9" spans="1:69" s="80" customFormat="1">
      <c r="A9" s="60"/>
      <c r="B9" s="60"/>
      <c r="C9" s="82"/>
      <c r="D9" s="85"/>
      <c r="E9" s="40" t="str">
        <f xml:space="preserve">  InpC!E$70</f>
        <v>Opening Supply Chain Finance balance</v>
      </c>
      <c r="F9" s="40">
        <f xml:space="preserve">  InpC!F$70</f>
        <v>0</v>
      </c>
      <c r="G9" s="40" t="str">
        <f xml:space="preserve">  InpC!G$70</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350</v>
      </c>
      <c r="G11" s="47" t="s">
        <v>257</v>
      </c>
      <c r="J11" s="2">
        <f t="shared" ref="J11:BQ11" si="0" xml:space="preserve">  I15</f>
        <v>0</v>
      </c>
      <c r="K11" s="2">
        <f t="shared" ca="1" si="0"/>
        <v>0</v>
      </c>
      <c r="L11" s="2">
        <f t="shared" ca="1" si="0"/>
        <v>0</v>
      </c>
      <c r="M11" s="2">
        <f t="shared" ca="1" si="0"/>
        <v>0</v>
      </c>
      <c r="N11" s="2">
        <f t="shared" ca="1" si="0"/>
        <v>0</v>
      </c>
      <c r="O11" s="2">
        <f t="shared" ca="1" si="0"/>
        <v>0</v>
      </c>
      <c r="P11" s="2">
        <f t="shared" ca="1" si="0"/>
        <v>0</v>
      </c>
      <c r="Q11" s="2">
        <f t="shared" ca="1" si="0"/>
        <v>0</v>
      </c>
      <c r="R11" s="2">
        <f t="shared" ca="1" si="0"/>
        <v>0</v>
      </c>
      <c r="S11" s="2">
        <f t="shared" ca="1" si="0"/>
        <v>0</v>
      </c>
      <c r="T11" s="2">
        <f t="shared" ca="1" si="0"/>
        <v>0</v>
      </c>
      <c r="U11" s="2">
        <f t="shared" ca="1" si="0"/>
        <v>0</v>
      </c>
      <c r="V11" s="2">
        <f t="shared" ca="1" si="0"/>
        <v>0</v>
      </c>
      <c r="W11" s="2">
        <f t="shared" ca="1" si="0"/>
        <v>0</v>
      </c>
      <c r="X11" s="2">
        <f t="shared" ca="1" si="0"/>
        <v>0</v>
      </c>
      <c r="Y11" s="2">
        <f t="shared" ca="1" si="0"/>
        <v>0</v>
      </c>
      <c r="Z11" s="2">
        <f t="shared" ca="1" si="0"/>
        <v>0</v>
      </c>
      <c r="AA11" s="2">
        <f t="shared" ca="1" si="0"/>
        <v>0</v>
      </c>
      <c r="AB11" s="2">
        <f t="shared" ca="1" si="0"/>
        <v>0</v>
      </c>
      <c r="AC11" s="2">
        <f t="shared" ca="1" si="0"/>
        <v>0</v>
      </c>
      <c r="AD11" s="2">
        <f t="shared" ca="1" si="0"/>
        <v>0</v>
      </c>
      <c r="AE11" s="2">
        <f t="shared" ca="1" si="0"/>
        <v>0</v>
      </c>
      <c r="AF11" s="2">
        <f t="shared" ca="1" si="0"/>
        <v>0</v>
      </c>
      <c r="AG11" s="2">
        <f t="shared" ca="1" si="0"/>
        <v>0</v>
      </c>
      <c r="AH11" s="2">
        <f t="shared" ca="1" si="0"/>
        <v>0</v>
      </c>
      <c r="AI11" s="2">
        <f t="shared" ca="1" si="0"/>
        <v>0</v>
      </c>
      <c r="AJ11" s="2">
        <f t="shared" ca="1" si="0"/>
        <v>0</v>
      </c>
      <c r="AK11" s="2">
        <f t="shared" ca="1" si="0"/>
        <v>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4" t="s">
        <v>220</v>
      </c>
      <c r="E12" s="2" t="str">
        <f t="shared" ref="E12:BQ12" si="1" xml:space="preserve">  E$22</f>
        <v>Supply Chain Finance drawdown</v>
      </c>
      <c r="F12" s="2">
        <f t="shared" si="1"/>
        <v>0</v>
      </c>
      <c r="G12" s="2" t="str">
        <f t="shared" si="1"/>
        <v>GBP</v>
      </c>
      <c r="H12" s="2">
        <f t="shared" ca="1" si="1"/>
        <v>0</v>
      </c>
      <c r="I12" s="2">
        <f t="shared" si="1"/>
        <v>0</v>
      </c>
      <c r="J12" s="2">
        <f t="shared" si="1"/>
        <v>0</v>
      </c>
      <c r="K12" s="2">
        <f t="shared" si="1"/>
        <v>0</v>
      </c>
      <c r="L12" s="2">
        <f t="shared" si="1"/>
        <v>0</v>
      </c>
      <c r="M12" s="2">
        <f t="shared" si="1"/>
        <v>0</v>
      </c>
      <c r="N12" s="2">
        <f t="shared" si="1"/>
        <v>0</v>
      </c>
      <c r="O12" s="2">
        <f t="shared" si="1"/>
        <v>0</v>
      </c>
      <c r="P12" s="2">
        <f t="shared" si="1"/>
        <v>0</v>
      </c>
      <c r="Q12" s="2">
        <f t="shared" si="1"/>
        <v>0</v>
      </c>
      <c r="R12" s="2">
        <f t="shared" si="1"/>
        <v>0</v>
      </c>
      <c r="S12" s="2">
        <f t="shared" si="1"/>
        <v>0</v>
      </c>
      <c r="T12" s="2">
        <f t="shared" si="1"/>
        <v>0</v>
      </c>
      <c r="U12" s="2">
        <f t="shared" si="1"/>
        <v>0</v>
      </c>
      <c r="V12" s="2">
        <f t="shared" ca="1" si="1"/>
        <v>0</v>
      </c>
      <c r="W12" s="2">
        <f t="shared" ca="1" si="1"/>
        <v>0</v>
      </c>
      <c r="X12" s="2">
        <f t="shared" ca="1" si="1"/>
        <v>0</v>
      </c>
      <c r="Y12" s="2">
        <f t="shared" ca="1" si="1"/>
        <v>0</v>
      </c>
      <c r="Z12" s="2">
        <f t="shared" ca="1" si="1"/>
        <v>0</v>
      </c>
      <c r="AA12" s="2">
        <f t="shared" ca="1" si="1"/>
        <v>0</v>
      </c>
      <c r="AB12" s="2">
        <f t="shared" ca="1" si="1"/>
        <v>0</v>
      </c>
      <c r="AC12" s="2">
        <f t="shared" ca="1" si="1"/>
        <v>0</v>
      </c>
      <c r="AD12" s="2">
        <f t="shared" ca="1" si="1"/>
        <v>0</v>
      </c>
      <c r="AE12" s="2">
        <f t="shared" ca="1" si="1"/>
        <v>0</v>
      </c>
      <c r="AF12" s="2">
        <f t="shared" ca="1" si="1"/>
        <v>0</v>
      </c>
      <c r="AG12" s="2">
        <f t="shared" ca="1" si="1"/>
        <v>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4" t="s">
        <v>220</v>
      </c>
      <c r="E13" s="2" t="str">
        <f t="shared" ref="E13:BQ13" si="2" xml:space="preserve">  E$35</f>
        <v>Supply Chain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4" t="s">
        <v>299</v>
      </c>
      <c r="E14" s="2" t="str">
        <f t="shared" ref="E14:BQ14" si="3" xml:space="preserve">  E$28</f>
        <v>Supply Chain Finance principal repayment POS</v>
      </c>
      <c r="F14" s="2">
        <f t="shared" si="3"/>
        <v>0</v>
      </c>
      <c r="G14" s="2" t="str">
        <f t="shared" si="3"/>
        <v>GBP</v>
      </c>
      <c r="H14" s="2">
        <f t="shared" ca="1" si="3"/>
        <v>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0</v>
      </c>
      <c r="S14" s="2">
        <f t="shared" ca="1" si="3"/>
        <v>0</v>
      </c>
      <c r="T14" s="2">
        <f t="shared" ca="1" si="3"/>
        <v>0</v>
      </c>
      <c r="U14" s="2">
        <f t="shared" ca="1" si="3"/>
        <v>0</v>
      </c>
      <c r="V14" s="2">
        <f t="shared" ca="1" si="3"/>
        <v>0</v>
      </c>
      <c r="W14" s="2">
        <f t="shared" ca="1" si="3"/>
        <v>0</v>
      </c>
      <c r="X14" s="2">
        <f t="shared" ca="1" si="3"/>
        <v>0</v>
      </c>
      <c r="Y14" s="2">
        <f t="shared" ca="1" si="3"/>
        <v>0</v>
      </c>
      <c r="Z14" s="2">
        <f t="shared" ca="1" si="3"/>
        <v>0</v>
      </c>
      <c r="AA14" s="2">
        <f t="shared" ca="1" si="3"/>
        <v>0</v>
      </c>
      <c r="AB14" s="2">
        <f t="shared" ca="1" si="3"/>
        <v>0</v>
      </c>
      <c r="AC14" s="2">
        <f t="shared" ca="1" si="3"/>
        <v>0</v>
      </c>
      <c r="AD14" s="2">
        <f t="shared" ca="1" si="3"/>
        <v>0</v>
      </c>
      <c r="AE14" s="2">
        <f t="shared" ca="1" si="3"/>
        <v>0</v>
      </c>
      <c r="AF14" s="2">
        <f t="shared" ca="1" si="3"/>
        <v>0</v>
      </c>
      <c r="AG14" s="2">
        <f t="shared" ca="1" si="3"/>
        <v>0</v>
      </c>
      <c r="AH14" s="2">
        <f t="shared" ca="1" si="3"/>
        <v>0</v>
      </c>
      <c r="AI14" s="2">
        <f t="shared" ca="1" si="3"/>
        <v>0</v>
      </c>
      <c r="AJ14" s="2">
        <f t="shared" ca="1" si="3"/>
        <v>0</v>
      </c>
      <c r="AK14" s="2">
        <f t="shared" ca="1" si="3"/>
        <v>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6" customFormat="1">
      <c r="A15" s="63"/>
      <c r="B15" s="63"/>
      <c r="C15" s="89"/>
      <c r="D15" s="91"/>
      <c r="E15" s="33" t="s">
        <v>133</v>
      </c>
      <c r="F15" s="33"/>
      <c r="G15" s="33" t="s">
        <v>257</v>
      </c>
      <c r="H15" s="33"/>
      <c r="I15" s="11">
        <f t="shared" ref="I15:BQ15" si="4" xml:space="preserve">  IF( I10 = 0, $F9, I11 + I12 + I13 - I14 )</f>
        <v>0</v>
      </c>
      <c r="J15" s="11">
        <f t="shared" ca="1" si="4"/>
        <v>0</v>
      </c>
      <c r="K15" s="11">
        <f t="shared" ca="1" si="4"/>
        <v>0</v>
      </c>
      <c r="L15" s="11">
        <f t="shared" ca="1" si="4"/>
        <v>0</v>
      </c>
      <c r="M15" s="11">
        <f t="shared" ca="1" si="4"/>
        <v>0</v>
      </c>
      <c r="N15" s="11">
        <f t="shared" ca="1" si="4"/>
        <v>0</v>
      </c>
      <c r="O15" s="11">
        <f t="shared" ca="1" si="4"/>
        <v>0</v>
      </c>
      <c r="P15" s="11">
        <f t="shared" ca="1" si="4"/>
        <v>0</v>
      </c>
      <c r="Q15" s="11">
        <f t="shared" ca="1" si="4"/>
        <v>0</v>
      </c>
      <c r="R15" s="11">
        <f t="shared" ca="1" si="4"/>
        <v>0</v>
      </c>
      <c r="S15" s="11">
        <f t="shared" ca="1" si="4"/>
        <v>0</v>
      </c>
      <c r="T15" s="11">
        <f t="shared" ca="1" si="4"/>
        <v>0</v>
      </c>
      <c r="U15" s="11">
        <f t="shared" ca="1" si="4"/>
        <v>0</v>
      </c>
      <c r="V15" s="11">
        <f t="shared" ca="1" si="4"/>
        <v>0</v>
      </c>
      <c r="W15" s="11">
        <f t="shared" ca="1" si="4"/>
        <v>0</v>
      </c>
      <c r="X15" s="11">
        <f t="shared" ca="1" si="4"/>
        <v>0</v>
      </c>
      <c r="Y15" s="11">
        <f t="shared" ca="1" si="4"/>
        <v>0</v>
      </c>
      <c r="Z15" s="11">
        <f t="shared" ca="1" si="4"/>
        <v>0</v>
      </c>
      <c r="AA15" s="11">
        <f t="shared" ca="1" si="4"/>
        <v>0</v>
      </c>
      <c r="AB15" s="11">
        <f t="shared" ca="1" si="4"/>
        <v>0</v>
      </c>
      <c r="AC15" s="11">
        <f t="shared" ca="1" si="4"/>
        <v>0</v>
      </c>
      <c r="AD15" s="11">
        <f t="shared" ca="1" si="4"/>
        <v>0</v>
      </c>
      <c r="AE15" s="11">
        <f t="shared" ca="1" si="4"/>
        <v>0</v>
      </c>
      <c r="AF15" s="11">
        <f t="shared" ca="1" si="4"/>
        <v>0</v>
      </c>
      <c r="AG15" s="11">
        <f t="shared" ca="1" si="4"/>
        <v>0</v>
      </c>
      <c r="AH15" s="11">
        <f t="shared" ca="1" si="4"/>
        <v>0</v>
      </c>
      <c r="AI15" s="11">
        <f t="shared" ca="1" si="4"/>
        <v>0</v>
      </c>
      <c r="AJ15" s="11">
        <f t="shared" ca="1" si="4"/>
        <v>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14</v>
      </c>
    </row>
    <row r="18" spans="1:69" outlineLevel="1">
      <c r="A18" s="18"/>
      <c r="B18" s="18"/>
      <c r="C18" s="28"/>
      <c r="D18" s="27"/>
      <c r="E18" s="4" t="str">
        <f xml:space="preserve">  InpC!E$35</f>
        <v>Supplier price per unit</v>
      </c>
      <c r="F18" s="4">
        <f xml:space="preserve">  InpC!F$35</f>
        <v>35</v>
      </c>
      <c r="G18" s="4" t="str">
        <f xml:space="preserve">  InpC!G$35</f>
        <v>GBP</v>
      </c>
      <c r="M18" s="2"/>
    </row>
    <row r="19" spans="1:69" outlineLevel="1">
      <c r="A19" s="18"/>
      <c r="B19" s="18"/>
      <c r="C19" s="28"/>
      <c r="D19" s="27"/>
      <c r="E19" s="43" t="str">
        <f xml:space="preserve">  InpC!E$72</f>
        <v>Supply Chain Finance Advance %</v>
      </c>
      <c r="F19" s="43">
        <f xml:space="preserve">  InpC!F$72</f>
        <v>0.8</v>
      </c>
      <c r="G19" s="43" t="str">
        <f xml:space="preserve">  InpC!G$72</f>
        <v>%</v>
      </c>
      <c r="M19" s="57"/>
    </row>
    <row r="20" spans="1:69" outlineLevel="1">
      <c r="A20" s="18"/>
      <c r="B20" s="18"/>
      <c r="C20" s="28"/>
      <c r="D20" s="27"/>
      <c r="E20" s="4" t="str">
        <f xml:space="preserve">  Inventory!E$33</f>
        <v>Units ordered</v>
      </c>
      <c r="F20" s="4">
        <f xml:space="preserve">  Inventory!F$33</f>
        <v>0</v>
      </c>
      <c r="G20" s="4" t="str">
        <f xml:space="preserve">  Inventory!G$33</f>
        <v>Units</v>
      </c>
      <c r="H20" s="4">
        <f ca="1" xml:space="preserve">  Inventory!H$33</f>
        <v>1650000</v>
      </c>
      <c r="I20" s="4">
        <f xml:space="preserve">  Inventory!I$33</f>
        <v>0</v>
      </c>
      <c r="J20" s="4">
        <f xml:space="preserve">  Inventory!J$33</f>
        <v>0</v>
      </c>
      <c r="K20" s="4">
        <f xml:space="preserve">  Inventory!K$33</f>
        <v>0</v>
      </c>
      <c r="L20" s="4">
        <f xml:space="preserve">  Inventory!L$33</f>
        <v>10000</v>
      </c>
      <c r="M20" s="4">
        <f xml:space="preserve">  Inventory!M$33</f>
        <v>10000</v>
      </c>
      <c r="N20" s="4">
        <f xml:space="preserve">  Inventory!N$33</f>
        <v>10000</v>
      </c>
      <c r="O20" s="4">
        <f xml:space="preserve">  Inventory!O$33</f>
        <v>0</v>
      </c>
      <c r="P20" s="4">
        <f xml:space="preserve">  Inventory!P$33</f>
        <v>10000</v>
      </c>
      <c r="Q20" s="4">
        <f xml:space="preserve">  Inventory!Q$33</f>
        <v>0</v>
      </c>
      <c r="R20" s="4">
        <f xml:space="preserve">  Inventory!R$33</f>
        <v>10000</v>
      </c>
      <c r="S20" s="4">
        <f xml:space="preserve">  Inventory!S$33</f>
        <v>0</v>
      </c>
      <c r="T20" s="4">
        <f xml:space="preserve">  Inventory!T$33</f>
        <v>0</v>
      </c>
      <c r="U20" s="4">
        <f xml:space="preserve">  Inventory!U$33</f>
        <v>0</v>
      </c>
      <c r="V20" s="4">
        <f ca="1" xml:space="preserve">  Inventory!V$33</f>
        <v>0</v>
      </c>
      <c r="W20" s="4">
        <f ca="1" xml:space="preserve">  Inventory!W$33</f>
        <v>0</v>
      </c>
      <c r="X20" s="4">
        <f ca="1" xml:space="preserve">  Inventory!X$33</f>
        <v>5000</v>
      </c>
      <c r="Y20" s="4">
        <f ca="1" xml:space="preserve">  Inventory!Y$33</f>
        <v>5000</v>
      </c>
      <c r="Z20" s="4">
        <f ca="1" xml:space="preserve">  Inventory!Z$33</f>
        <v>5000</v>
      </c>
      <c r="AA20" s="4">
        <f ca="1" xml:space="preserve">  Inventory!AA$33</f>
        <v>10000</v>
      </c>
      <c r="AB20" s="4">
        <f ca="1" xml:space="preserve">  Inventory!AB$33</f>
        <v>5000</v>
      </c>
      <c r="AC20" s="4">
        <f ca="1" xml:space="preserve">  Inventory!AC$33</f>
        <v>10000</v>
      </c>
      <c r="AD20" s="4">
        <f ca="1" xml:space="preserve">  Inventory!AD$33</f>
        <v>5000</v>
      </c>
      <c r="AE20" s="4">
        <f ca="1" xml:space="preserve">  Inventory!AE$33</f>
        <v>10000</v>
      </c>
      <c r="AF20" s="4">
        <f ca="1" xml:space="preserve">  Inventory!AF$33</f>
        <v>10000</v>
      </c>
      <c r="AG20" s="4">
        <f ca="1" xml:space="preserve">  Inventory!AG$33</f>
        <v>10000</v>
      </c>
      <c r="AH20" s="4">
        <f ca="1" xml:space="preserve">  Inventory!AH$33</f>
        <v>10000</v>
      </c>
      <c r="AI20" s="4">
        <f ca="1" xml:space="preserve">  Inventory!AI$33</f>
        <v>15000</v>
      </c>
      <c r="AJ20" s="4">
        <f ca="1" xml:space="preserve">  Inventory!AJ$33</f>
        <v>10000</v>
      </c>
      <c r="AK20" s="4">
        <f ca="1" xml:space="preserve">  Inventory!AK$33</f>
        <v>15000</v>
      </c>
      <c r="AL20" s="4">
        <f ca="1" xml:space="preserve">  Inventory!AL$33</f>
        <v>15000</v>
      </c>
      <c r="AM20" s="4">
        <f ca="1" xml:space="preserve">  Inventory!AM$33</f>
        <v>20000</v>
      </c>
      <c r="AN20" s="4">
        <f ca="1" xml:space="preserve">  Inventory!AN$33</f>
        <v>15000</v>
      </c>
      <c r="AO20" s="4">
        <f ca="1" xml:space="preserve">  Inventory!AO$33</f>
        <v>20000</v>
      </c>
      <c r="AP20" s="4">
        <f ca="1" xml:space="preserve">  Inventory!AP$33</f>
        <v>25000</v>
      </c>
      <c r="AQ20" s="4">
        <f ca="1" xml:space="preserve">  Inventory!AQ$33</f>
        <v>20000</v>
      </c>
      <c r="AR20" s="4">
        <f ca="1" xml:space="preserve">  Inventory!AR$33</f>
        <v>25000</v>
      </c>
      <c r="AS20" s="4">
        <f ca="1" xml:space="preserve">  Inventory!AS$33</f>
        <v>25000</v>
      </c>
      <c r="AT20" s="4">
        <f ca="1" xml:space="preserve">  Inventory!AT$33</f>
        <v>25000</v>
      </c>
      <c r="AU20" s="4">
        <f ca="1" xml:space="preserve">  Inventory!AU$33</f>
        <v>25000</v>
      </c>
      <c r="AV20" s="4">
        <f ca="1" xml:space="preserve">  Inventory!AV$33</f>
        <v>30000</v>
      </c>
      <c r="AW20" s="4">
        <f ca="1" xml:space="preserve">  Inventory!AW$33</f>
        <v>30000</v>
      </c>
      <c r="AX20" s="4">
        <f ca="1" xml:space="preserve">  Inventory!AX$33</f>
        <v>35000</v>
      </c>
      <c r="AY20" s="4">
        <f ca="1" xml:space="preserve">  Inventory!AY$33</f>
        <v>35000</v>
      </c>
      <c r="AZ20" s="4">
        <f ca="1" xml:space="preserve">  Inventory!AZ$33</f>
        <v>35000</v>
      </c>
      <c r="BA20" s="4">
        <f ca="1" xml:space="preserve">  Inventory!BA$33</f>
        <v>40000</v>
      </c>
      <c r="BB20" s="4">
        <f ca="1" xml:space="preserve">  Inventory!BB$33</f>
        <v>40000</v>
      </c>
      <c r="BC20" s="4">
        <f ca="1" xml:space="preserve">  Inventory!BC$33</f>
        <v>45000</v>
      </c>
      <c r="BD20" s="4">
        <f ca="1" xml:space="preserve">  Inventory!BD$33</f>
        <v>45000</v>
      </c>
      <c r="BE20" s="4">
        <f ca="1" xml:space="preserve">  Inventory!BE$33</f>
        <v>50000</v>
      </c>
      <c r="BF20" s="4">
        <f ca="1" xml:space="preserve">  Inventory!BF$33</f>
        <v>50000</v>
      </c>
      <c r="BG20" s="4">
        <f ca="1" xml:space="preserve">  Inventory!BG$33</f>
        <v>55000</v>
      </c>
      <c r="BH20" s="4">
        <f ca="1" xml:space="preserve">  Inventory!BH$33</f>
        <v>60000</v>
      </c>
      <c r="BI20" s="4">
        <f ca="1" xml:space="preserve">  Inventory!BI$33</f>
        <v>60000</v>
      </c>
      <c r="BJ20" s="4">
        <f ca="1" xml:space="preserve">  Inventory!BJ$33</f>
        <v>65000</v>
      </c>
      <c r="BK20" s="4">
        <f ca="1" xml:space="preserve">  Inventory!BK$33</f>
        <v>70000</v>
      </c>
      <c r="BL20" s="4">
        <f ca="1" xml:space="preserve">  Inventory!BL$33</f>
        <v>75000</v>
      </c>
      <c r="BM20" s="4">
        <f ca="1" xml:space="preserve">  Inventory!BM$33</f>
        <v>75000</v>
      </c>
      <c r="BN20" s="4">
        <f ca="1" xml:space="preserve">  Inventory!BN$33</f>
        <v>85000</v>
      </c>
      <c r="BO20" s="4">
        <f ca="1" xml:space="preserve">  Inventory!BO$33</f>
        <v>85000</v>
      </c>
      <c r="BP20" s="4">
        <f ca="1" xml:space="preserve">  Inventory!BP$33</f>
        <v>95000</v>
      </c>
      <c r="BQ20" s="4">
        <f ca="1" xml:space="preserve">  Inventory!BQ$33</f>
        <v>100000</v>
      </c>
    </row>
    <row r="21" spans="1:69" outlineLevel="1">
      <c r="A21" s="18"/>
      <c r="B21" s="18"/>
      <c r="C21" s="28"/>
      <c r="D21" s="27"/>
      <c r="E21" s="4" t="str">
        <f xml:space="preserve">  Time!E$235</f>
        <v>Supply Chain Finance enabled flag</v>
      </c>
      <c r="F21" s="4">
        <f xml:space="preserve">  Time!F$235</f>
        <v>0</v>
      </c>
      <c r="G21" s="4" t="str">
        <f xml:space="preserve">  Time!G$235</f>
        <v>flag</v>
      </c>
      <c r="H21" s="4">
        <f xml:space="preserve">  Time!H$235</f>
        <v>0</v>
      </c>
      <c r="I21" s="4">
        <f xml:space="preserve">  Time!I$235</f>
        <v>0</v>
      </c>
      <c r="J21" s="4">
        <f xml:space="preserve">  Time!J$235</f>
        <v>0</v>
      </c>
      <c r="K21" s="4">
        <f xml:space="preserve">  Time!K$235</f>
        <v>0</v>
      </c>
      <c r="L21" s="4">
        <f xml:space="preserve">  Time!L$235</f>
        <v>0</v>
      </c>
      <c r="M21" s="4">
        <f xml:space="preserve">  Time!M$235</f>
        <v>0</v>
      </c>
      <c r="N21" s="4">
        <f xml:space="preserve">  Time!N$235</f>
        <v>0</v>
      </c>
      <c r="O21" s="4">
        <f xml:space="preserve">  Time!O$235</f>
        <v>0</v>
      </c>
      <c r="P21" s="4">
        <f xml:space="preserve">  Time!P$235</f>
        <v>0</v>
      </c>
      <c r="Q21" s="4">
        <f xml:space="preserve">  Time!Q$235</f>
        <v>0</v>
      </c>
      <c r="R21" s="4">
        <f xml:space="preserve">  Time!R$235</f>
        <v>0</v>
      </c>
      <c r="S21" s="4">
        <f xml:space="preserve">  Time!S$235</f>
        <v>0</v>
      </c>
      <c r="T21" s="4">
        <f xml:space="preserve">  Time!T$235</f>
        <v>0</v>
      </c>
      <c r="U21" s="4">
        <f xml:space="preserve">  Time!U$235</f>
        <v>0</v>
      </c>
      <c r="V21" s="4">
        <f xml:space="preserve">  Time!V$235</f>
        <v>0</v>
      </c>
      <c r="W21" s="4">
        <f xml:space="preserve">  Time!W$235</f>
        <v>0</v>
      </c>
      <c r="X21" s="4">
        <f xml:space="preserve">  Time!X$235</f>
        <v>0</v>
      </c>
      <c r="Y21" s="4">
        <f xml:space="preserve">  Time!Y$235</f>
        <v>0</v>
      </c>
      <c r="Z21" s="4">
        <f xml:space="preserve">  Time!Z$235</f>
        <v>0</v>
      </c>
      <c r="AA21" s="4">
        <f xml:space="preserve">  Time!AA$235</f>
        <v>0</v>
      </c>
      <c r="AB21" s="4">
        <f xml:space="preserve">  Time!AB$235</f>
        <v>0</v>
      </c>
      <c r="AC21" s="4">
        <f xml:space="preserve">  Time!AC$235</f>
        <v>0</v>
      </c>
      <c r="AD21" s="4">
        <f xml:space="preserve">  Time!AD$235</f>
        <v>0</v>
      </c>
      <c r="AE21" s="4">
        <f xml:space="preserve">  Time!AE$235</f>
        <v>0</v>
      </c>
      <c r="AF21" s="4">
        <f xml:space="preserve">  Time!AF$235</f>
        <v>0</v>
      </c>
      <c r="AG21" s="4">
        <f xml:space="preserve">  Time!AG$235</f>
        <v>0</v>
      </c>
      <c r="AH21" s="4">
        <f xml:space="preserve">  Time!AH$235</f>
        <v>0</v>
      </c>
      <c r="AI21" s="4">
        <f xml:space="preserve">  Time!AI$235</f>
        <v>0</v>
      </c>
      <c r="AJ21" s="4">
        <f xml:space="preserve">  Time!AJ$235</f>
        <v>0</v>
      </c>
      <c r="AK21" s="4">
        <f xml:space="preserve">  Time!AK$235</f>
        <v>0</v>
      </c>
      <c r="AL21" s="4">
        <f xml:space="preserve">  Time!AL$235</f>
        <v>0</v>
      </c>
      <c r="AM21" s="4">
        <f xml:space="preserve">  Time!AM$235</f>
        <v>0</v>
      </c>
      <c r="AN21" s="4">
        <f xml:space="preserve">  Time!AN$235</f>
        <v>0</v>
      </c>
      <c r="AO21" s="4">
        <f xml:space="preserve">  Time!AO$235</f>
        <v>0</v>
      </c>
      <c r="AP21" s="4">
        <f xml:space="preserve">  Time!AP$235</f>
        <v>0</v>
      </c>
      <c r="AQ21" s="4">
        <f xml:space="preserve">  Time!AQ$235</f>
        <v>0</v>
      </c>
      <c r="AR21" s="4">
        <f xml:space="preserve">  Time!AR$235</f>
        <v>0</v>
      </c>
      <c r="AS21" s="4">
        <f xml:space="preserve">  Time!AS$235</f>
        <v>0</v>
      </c>
      <c r="AT21" s="4">
        <f xml:space="preserve">  Time!AT$235</f>
        <v>0</v>
      </c>
      <c r="AU21" s="4">
        <f xml:space="preserve">  Time!AU$235</f>
        <v>0</v>
      </c>
      <c r="AV21" s="4">
        <f xml:space="preserve">  Time!AV$235</f>
        <v>0</v>
      </c>
      <c r="AW21" s="4">
        <f xml:space="preserve">  Time!AW$235</f>
        <v>0</v>
      </c>
      <c r="AX21" s="4">
        <f xml:space="preserve">  Time!AX$235</f>
        <v>0</v>
      </c>
      <c r="AY21" s="4">
        <f xml:space="preserve">  Time!AY$235</f>
        <v>0</v>
      </c>
      <c r="AZ21" s="4">
        <f xml:space="preserve">  Time!AZ$235</f>
        <v>0</v>
      </c>
      <c r="BA21" s="4">
        <f xml:space="preserve">  Time!BA$235</f>
        <v>0</v>
      </c>
      <c r="BB21" s="4">
        <f xml:space="preserve">  Time!BB$235</f>
        <v>0</v>
      </c>
      <c r="BC21" s="4">
        <f xml:space="preserve">  Time!BC$235</f>
        <v>0</v>
      </c>
      <c r="BD21" s="4">
        <f xml:space="preserve">  Time!BD$235</f>
        <v>0</v>
      </c>
      <c r="BE21" s="4">
        <f xml:space="preserve">  Time!BE$235</f>
        <v>0</v>
      </c>
      <c r="BF21" s="4">
        <f xml:space="preserve">  Time!BF$235</f>
        <v>0</v>
      </c>
      <c r="BG21" s="4">
        <f xml:space="preserve">  Time!BG$235</f>
        <v>0</v>
      </c>
      <c r="BH21" s="4">
        <f xml:space="preserve">  Time!BH$235</f>
        <v>0</v>
      </c>
      <c r="BI21" s="4">
        <f xml:space="preserve">  Time!BI$235</f>
        <v>0</v>
      </c>
      <c r="BJ21" s="4">
        <f xml:space="preserve">  Time!BJ$235</f>
        <v>0</v>
      </c>
      <c r="BK21" s="4">
        <f xml:space="preserve">  Time!BK$235</f>
        <v>0</v>
      </c>
      <c r="BL21" s="4">
        <f xml:space="preserve">  Time!BL$235</f>
        <v>0</v>
      </c>
      <c r="BM21" s="4">
        <f xml:space="preserve">  Time!BM$235</f>
        <v>0</v>
      </c>
      <c r="BN21" s="4">
        <f xml:space="preserve">  Time!BN$235</f>
        <v>0</v>
      </c>
      <c r="BO21" s="4">
        <f xml:space="preserve">  Time!BO$235</f>
        <v>0</v>
      </c>
      <c r="BP21" s="4">
        <f xml:space="preserve">  Time!BP$235</f>
        <v>0</v>
      </c>
      <c r="BQ21" s="4">
        <f xml:space="preserve">  Time!BQ$235</f>
        <v>0</v>
      </c>
    </row>
    <row r="22" spans="1:69" outlineLevel="1">
      <c r="A22" s="34"/>
      <c r="B22" s="34"/>
      <c r="C22" s="64"/>
      <c r="D22" s="65"/>
      <c r="E22" s="21" t="s">
        <v>14</v>
      </c>
      <c r="F22" s="21"/>
      <c r="G22" s="21" t="s">
        <v>257</v>
      </c>
      <c r="H22" s="3">
        <f ca="1" xml:space="preserve"> SUM( J22:BQ22 )</f>
        <v>0</v>
      </c>
      <c r="I22" s="21"/>
      <c r="J22" s="3">
        <f t="shared" ref="J22:BQ22" si="5" xml:space="preserve">  J21 * ( J20 * $F18 * $F19 )</f>
        <v>0</v>
      </c>
      <c r="K22" s="3">
        <f t="shared" si="5"/>
        <v>0</v>
      </c>
      <c r="L22" s="3">
        <f t="shared" si="5"/>
        <v>0</v>
      </c>
      <c r="M22" s="3">
        <f t="shared" si="5"/>
        <v>0</v>
      </c>
      <c r="N22" s="3">
        <f t="shared" si="5"/>
        <v>0</v>
      </c>
      <c r="O22" s="3">
        <f t="shared" si="5"/>
        <v>0</v>
      </c>
      <c r="P22" s="3">
        <f t="shared" si="5"/>
        <v>0</v>
      </c>
      <c r="Q22" s="3">
        <f t="shared" si="5"/>
        <v>0</v>
      </c>
      <c r="R22" s="3">
        <f t="shared" si="5"/>
        <v>0</v>
      </c>
      <c r="S22" s="3">
        <f t="shared" si="5"/>
        <v>0</v>
      </c>
      <c r="T22" s="3">
        <f t="shared" si="5"/>
        <v>0</v>
      </c>
      <c r="U22" s="3">
        <f t="shared" si="5"/>
        <v>0</v>
      </c>
      <c r="V22" s="3">
        <f t="shared" ca="1" si="5"/>
        <v>0</v>
      </c>
      <c r="W22" s="3">
        <f t="shared" ca="1" si="5"/>
        <v>0</v>
      </c>
      <c r="X22" s="3">
        <f t="shared" ca="1" si="5"/>
        <v>0</v>
      </c>
      <c r="Y22" s="3">
        <f t="shared" ca="1" si="5"/>
        <v>0</v>
      </c>
      <c r="Z22" s="3">
        <f t="shared" ca="1" si="5"/>
        <v>0</v>
      </c>
      <c r="AA22" s="3">
        <f t="shared" ca="1" si="5"/>
        <v>0</v>
      </c>
      <c r="AB22" s="3">
        <f t="shared" ca="1" si="5"/>
        <v>0</v>
      </c>
      <c r="AC22" s="3">
        <f t="shared" ca="1" si="5"/>
        <v>0</v>
      </c>
      <c r="AD22" s="3">
        <f t="shared" ca="1" si="5"/>
        <v>0</v>
      </c>
      <c r="AE22" s="3">
        <f t="shared" ca="1" si="5"/>
        <v>0</v>
      </c>
      <c r="AF22" s="3">
        <f t="shared" ca="1" si="5"/>
        <v>0</v>
      </c>
      <c r="AG22" s="3">
        <f t="shared" ca="1" si="5"/>
        <v>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111</v>
      </c>
    </row>
    <row r="26" spans="1:69" outlineLevel="1">
      <c r="A26" s="18"/>
      <c r="B26" s="18"/>
      <c r="C26" s="28"/>
      <c r="D26" s="27"/>
      <c r="E26" s="4" t="str">
        <f xml:space="preserve">  InpC!E$34</f>
        <v>Order lead time (months)</v>
      </c>
      <c r="F26" s="4">
        <f xml:space="preserve">  InpC!F$34</f>
        <v>6</v>
      </c>
      <c r="G26" s="4" t="str">
        <f xml:space="preserve">  InpC!G$34</f>
        <v>Months</v>
      </c>
      <c r="M26" s="2"/>
    </row>
    <row r="27" spans="1:69" outlineLevel="1">
      <c r="E27" s="2" t="str">
        <f t="shared" ref="E27:BQ27" si="6" xml:space="preserve">  E$22</f>
        <v>Supply Chain Finance drawdown</v>
      </c>
      <c r="F27" s="2">
        <f t="shared" si="6"/>
        <v>0</v>
      </c>
      <c r="G27" s="2" t="str">
        <f t="shared" si="6"/>
        <v>GBP</v>
      </c>
      <c r="H27" s="2">
        <f t="shared" ca="1" si="6"/>
        <v>0</v>
      </c>
      <c r="I27" s="2">
        <f t="shared" si="6"/>
        <v>0</v>
      </c>
      <c r="J27" s="2">
        <f t="shared" si="6"/>
        <v>0</v>
      </c>
      <c r="K27" s="2">
        <f t="shared" si="6"/>
        <v>0</v>
      </c>
      <c r="L27" s="2">
        <f t="shared" si="6"/>
        <v>0</v>
      </c>
      <c r="M27" s="2">
        <f t="shared" si="6"/>
        <v>0</v>
      </c>
      <c r="N27" s="2">
        <f t="shared" si="6"/>
        <v>0</v>
      </c>
      <c r="O27" s="2">
        <f t="shared" si="6"/>
        <v>0</v>
      </c>
      <c r="P27" s="2">
        <f t="shared" si="6"/>
        <v>0</v>
      </c>
      <c r="Q27" s="2">
        <f t="shared" si="6"/>
        <v>0</v>
      </c>
      <c r="R27" s="2">
        <f t="shared" si="6"/>
        <v>0</v>
      </c>
      <c r="S27" s="2">
        <f t="shared" si="6"/>
        <v>0</v>
      </c>
      <c r="T27" s="2">
        <f t="shared" si="6"/>
        <v>0</v>
      </c>
      <c r="U27" s="2">
        <f t="shared" si="6"/>
        <v>0</v>
      </c>
      <c r="V27" s="2">
        <f t="shared" ca="1" si="6"/>
        <v>0</v>
      </c>
      <c r="W27" s="2">
        <f t="shared" ca="1" si="6"/>
        <v>0</v>
      </c>
      <c r="X27" s="2">
        <f t="shared" ca="1" si="6"/>
        <v>0</v>
      </c>
      <c r="Y27" s="2">
        <f t="shared" ca="1" si="6"/>
        <v>0</v>
      </c>
      <c r="Z27" s="2">
        <f t="shared" ca="1" si="6"/>
        <v>0</v>
      </c>
      <c r="AA27" s="2">
        <f t="shared" ca="1" si="6"/>
        <v>0</v>
      </c>
      <c r="AB27" s="2">
        <f t="shared" ca="1" si="6"/>
        <v>0</v>
      </c>
      <c r="AC27" s="2">
        <f t="shared" ca="1" si="6"/>
        <v>0</v>
      </c>
      <c r="AD27" s="2">
        <f t="shared" ca="1" si="6"/>
        <v>0</v>
      </c>
      <c r="AE27" s="2">
        <f t="shared" ca="1" si="6"/>
        <v>0</v>
      </c>
      <c r="AF27" s="2">
        <f t="shared" ca="1" si="6"/>
        <v>0</v>
      </c>
      <c r="AG27" s="2">
        <f t="shared" ca="1" si="6"/>
        <v>0</v>
      </c>
      <c r="AH27" s="2">
        <f t="shared" ca="1" si="6"/>
        <v>0</v>
      </c>
      <c r="AI27" s="2">
        <f t="shared" ca="1" si="6"/>
        <v>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184</v>
      </c>
      <c r="G28" s="47" t="s">
        <v>257</v>
      </c>
      <c r="H28" s="2">
        <f t="shared" ref="H28:H29" ca="1" si="7" xml:space="preserve"> SUM( J28:BQ28 )</f>
        <v>0</v>
      </c>
      <c r="J28" s="2">
        <f ca="1" xml:space="preserve">  IF( Time!J28 &lt; 1 + $F26, 0, OFFSET( J27, 0, - 1 * ( $F26 ) ) )</f>
        <v>0</v>
      </c>
      <c r="K28" s="2">
        <f ca="1" xml:space="preserve">  IF( Time!K28 &lt; 1 + $F26, 0, OFFSET( K27, 0, - 1 * ( $F26 ) ) )</f>
        <v>0</v>
      </c>
      <c r="L28" s="2">
        <f ca="1" xml:space="preserve">  IF( Time!L28 &lt; 1 + $F26, 0, OFFSET( L27, 0, - 1 * ( $F26 ) ) )</f>
        <v>0</v>
      </c>
      <c r="M28" s="2">
        <f ca="1" xml:space="preserve">  IF( Time!M28 &lt; 1 + $F26, 0, OFFSET( M27, 0, - 1 * ( $F26 ) ) )</f>
        <v>0</v>
      </c>
      <c r="N28" s="2">
        <f ca="1" xml:space="preserve">  IF( Time!N28 &lt; 1 + $F26, 0, OFFSET( N27, 0, - 1 * ( $F26 ) ) )</f>
        <v>0</v>
      </c>
      <c r="O28" s="2">
        <f ca="1" xml:space="preserve">  IF( Time!O28 &lt; 1 + $F26, 0, OFFSET( O27, 0, - 1 * ( $F26 ) ) )</f>
        <v>0</v>
      </c>
      <c r="P28" s="2">
        <f ca="1" xml:space="preserve">  IF( Time!P28 &lt; 1 + $F26, 0, OFFSET( P27, 0, - 1 * ( $F26 ) ) )</f>
        <v>0</v>
      </c>
      <c r="Q28" s="2">
        <f ca="1" xml:space="preserve">  IF( Time!Q28 &lt; 1 + $F26, 0, OFFSET( Q27, 0, - 1 * ( $F26 ) ) )</f>
        <v>0</v>
      </c>
      <c r="R28" s="2">
        <f ca="1" xml:space="preserve">  IF( Time!R28 &lt; 1 + $F26, 0, OFFSET( R27, 0, - 1 * ( $F26 ) ) )</f>
        <v>0</v>
      </c>
      <c r="S28" s="2">
        <f ca="1" xml:space="preserve">  IF( Time!S28 &lt; 1 + $F26, 0, OFFSET( S27, 0, - 1 * ( $F26 ) ) )</f>
        <v>0</v>
      </c>
      <c r="T28" s="2">
        <f ca="1" xml:space="preserve">  IF( Time!T28 &lt; 1 + $F26, 0, OFFSET( T27, 0, - 1 * ( $F26 ) ) )</f>
        <v>0</v>
      </c>
      <c r="U28" s="2">
        <f ca="1" xml:space="preserve">  IF( Time!U28 &lt; 1 + $F26, 0, OFFSET( U27, 0, - 1 * ( $F26 ) ) )</f>
        <v>0</v>
      </c>
      <c r="V28" s="2">
        <f ca="1" xml:space="preserve">  IF( Time!V28 &lt; 1 + $F26, 0, OFFSET( V27, 0, - 1 * ( $F26 ) ) )</f>
        <v>0</v>
      </c>
      <c r="W28" s="2">
        <f ca="1" xml:space="preserve">  IF( Time!W28 &lt; 1 + $F26, 0, OFFSET( W27, 0, - 1 * ( $F26 ) ) )</f>
        <v>0</v>
      </c>
      <c r="X28" s="2">
        <f ca="1" xml:space="preserve">  IF( Time!X28 &lt; 1 + $F26, 0, OFFSET( X27, 0, - 1 * ( $F26 ) ) )</f>
        <v>0</v>
      </c>
      <c r="Y28" s="2">
        <f ca="1" xml:space="preserve">  IF( Time!Y28 &lt; 1 + $F26, 0, OFFSET( Y27, 0, - 1 * ( $F26 ) ) )</f>
        <v>0</v>
      </c>
      <c r="Z28" s="2">
        <f ca="1" xml:space="preserve">  IF( Time!Z28 &lt; 1 + $F26, 0, OFFSET( Z27, 0, - 1 * ( $F26 ) ) )</f>
        <v>0</v>
      </c>
      <c r="AA28" s="2">
        <f ca="1" xml:space="preserve">  IF( Time!AA28 &lt; 1 + $F26, 0, OFFSET( AA27, 0, - 1 * ( $F26 ) ) )</f>
        <v>0</v>
      </c>
      <c r="AB28" s="2">
        <f ca="1" xml:space="preserve">  IF( Time!AB28 &lt; 1 + $F26, 0, OFFSET( AB27, 0, - 1 * ( $F26 ) ) )</f>
        <v>0</v>
      </c>
      <c r="AC28" s="2">
        <f ca="1" xml:space="preserve">  IF( Time!AC28 &lt; 1 + $F26, 0, OFFSET( AC27, 0, - 1 * ( $F26 ) ) )</f>
        <v>0</v>
      </c>
      <c r="AD28" s="2">
        <f ca="1" xml:space="preserve">  IF( Time!AD28 &lt; 1 + $F26, 0, OFFSET( AD27, 0, - 1 * ( $F26 ) ) )</f>
        <v>0</v>
      </c>
      <c r="AE28" s="2">
        <f ca="1" xml:space="preserve">  IF( Time!AE28 &lt; 1 + $F26, 0, OFFSET( AE27, 0, - 1 * ( $F26 ) ) )</f>
        <v>0</v>
      </c>
      <c r="AF28" s="2">
        <f ca="1" xml:space="preserve">  IF( Time!AF28 &lt; 1 + $F26, 0, OFFSET( AF27, 0, - 1 * ( $F26 ) ) )</f>
        <v>0</v>
      </c>
      <c r="AG28" s="2">
        <f ca="1" xml:space="preserve">  IF( Time!AG28 &lt; 1 + $F26, 0, OFFSET( AG27, 0, - 1 * ( $F26 ) ) )</f>
        <v>0</v>
      </c>
      <c r="AH28" s="2">
        <f ca="1" xml:space="preserve">  IF( Time!AH28 &lt; 1 + $F26, 0, OFFSET( AH27, 0, - 1 * ( $F26 ) ) )</f>
        <v>0</v>
      </c>
      <c r="AI28" s="2">
        <f ca="1" xml:space="preserve">  IF( Time!AI28 &lt; 1 + $F26, 0, OFFSET( AI27, 0, - 1 * ( $F26 ) ) )</f>
        <v>0</v>
      </c>
      <c r="AJ28" s="2">
        <f ca="1" xml:space="preserve">  IF( Time!AJ28 &lt; 1 + $F26, 0, OFFSET( AJ27, 0, - 1 * ( $F26 ) ) )</f>
        <v>0</v>
      </c>
      <c r="AK28" s="2">
        <f ca="1" xml:space="preserve">  IF( Time!AK28 &lt; 1 + $F26, 0, OFFSET( AK27, 0, - 1 * ( $F26 ) ) )</f>
        <v>0</v>
      </c>
      <c r="AL28" s="2">
        <f ca="1" xml:space="preserve">  IF( Time!AL28 &lt; 1 + $F26, 0, OFFSET( AL27, 0, - 1 * ( $F26 ) ) )</f>
        <v>0</v>
      </c>
      <c r="AM28" s="2">
        <f ca="1" xml:space="preserve">  IF( Time!AM28 &lt; 1 + $F26, 0, OFFSET( AM27, 0, - 1 * ( $F26 ) ) )</f>
        <v>0</v>
      </c>
      <c r="AN28" s="2">
        <f ca="1" xml:space="preserve">  IF( Time!AN28 &lt; 1 + $F26, 0, OFFSET( AN27, 0, - 1 * ( $F26 ) ) )</f>
        <v>0</v>
      </c>
      <c r="AO28" s="2">
        <f ca="1" xml:space="preserve">  IF( Time!AO28 &lt; 1 + $F26, 0, OFFSET( AO27, 0, - 1 * ( $F26 ) ) )</f>
        <v>0</v>
      </c>
      <c r="AP28" s="2">
        <f ca="1" xml:space="preserve">  IF( Time!AP28 &lt; 1 + $F26, 0, OFFSET( AP27, 0, - 1 * ( $F26 ) ) )</f>
        <v>0</v>
      </c>
      <c r="AQ28" s="2">
        <f ca="1" xml:space="preserve">  IF( Time!AQ28 &lt; 1 + $F26, 0, OFFSET( AQ27, 0, - 1 * ( $F26 ) ) )</f>
        <v>0</v>
      </c>
      <c r="AR28" s="2">
        <f ca="1" xml:space="preserve">  IF( Time!AR28 &lt; 1 + $F26, 0, OFFSET( AR27, 0, - 1 * ( $F26 ) ) )</f>
        <v>0</v>
      </c>
      <c r="AS28" s="2">
        <f ca="1" xml:space="preserve">  IF( Time!AS28 &lt; 1 + $F26, 0, OFFSET( AS27, 0, - 1 * ( $F26 ) ) )</f>
        <v>0</v>
      </c>
      <c r="AT28" s="2">
        <f ca="1" xml:space="preserve">  IF( Time!AT28 &lt; 1 + $F26, 0, OFFSET( AT27, 0, - 1 * ( $F26 ) ) )</f>
        <v>0</v>
      </c>
      <c r="AU28" s="2">
        <f ca="1" xml:space="preserve">  IF( Time!AU28 &lt; 1 + $F26, 0, OFFSET( AU27, 0, - 1 * ( $F26 ) ) )</f>
        <v>0</v>
      </c>
      <c r="AV28" s="2">
        <f ca="1" xml:space="preserve">  IF( Time!AV28 &lt; 1 + $F26, 0, OFFSET( AV27, 0, - 1 * ( $F26 ) ) )</f>
        <v>0</v>
      </c>
      <c r="AW28" s="2">
        <f ca="1" xml:space="preserve">  IF( Time!AW28 &lt; 1 + $F26, 0, OFFSET( AW27, 0, - 1 * ( $F26 ) ) )</f>
        <v>0</v>
      </c>
      <c r="AX28" s="2">
        <f ca="1" xml:space="preserve">  IF( Time!AX28 &lt; 1 + $F26, 0, OFFSET( AX27, 0, - 1 * ( $F26 ) ) )</f>
        <v>0</v>
      </c>
      <c r="AY28" s="2">
        <f ca="1" xml:space="preserve">  IF( Time!AY28 &lt; 1 + $F26, 0, OFFSET( AY27, 0, - 1 * ( $F26 ) ) )</f>
        <v>0</v>
      </c>
      <c r="AZ28" s="2">
        <f ca="1" xml:space="preserve">  IF( Time!AZ28 &lt; 1 + $F26, 0, OFFSET( AZ27, 0, - 1 * ( $F26 ) ) )</f>
        <v>0</v>
      </c>
      <c r="BA28" s="2">
        <f ca="1" xml:space="preserve">  IF( Time!BA28 &lt; 1 + $F26, 0, OFFSET( BA27, 0, - 1 * ( $F26 ) ) )</f>
        <v>0</v>
      </c>
      <c r="BB28" s="2">
        <f ca="1" xml:space="preserve">  IF( Time!BB28 &lt; 1 + $F26, 0, OFFSET( BB27, 0, - 1 * ( $F26 ) ) )</f>
        <v>0</v>
      </c>
      <c r="BC28" s="2">
        <f ca="1" xml:space="preserve">  IF( Time!BC28 &lt; 1 + $F26, 0, OFFSET( BC27, 0, - 1 * ( $F26 ) ) )</f>
        <v>0</v>
      </c>
      <c r="BD28" s="2">
        <f ca="1" xml:space="preserve">  IF( Time!BD28 &lt; 1 + $F26, 0, OFFSET( BD27, 0, - 1 * ( $F26 ) ) )</f>
        <v>0</v>
      </c>
      <c r="BE28" s="2">
        <f ca="1" xml:space="preserve">  IF( Time!BE28 &lt; 1 + $F26, 0, OFFSET( BE27, 0, - 1 * ( $F26 ) ) )</f>
        <v>0</v>
      </c>
      <c r="BF28" s="2">
        <f ca="1" xml:space="preserve">  IF( Time!BF28 &lt; 1 + $F26, 0, OFFSET( BF27, 0, - 1 * ( $F26 ) ) )</f>
        <v>0</v>
      </c>
      <c r="BG28" s="2">
        <f ca="1" xml:space="preserve">  IF( Time!BG28 &lt; 1 + $F26, 0, OFFSET( BG27, 0, - 1 * ( $F26 ) ) )</f>
        <v>0</v>
      </c>
      <c r="BH28" s="2">
        <f ca="1" xml:space="preserve">  IF( Time!BH28 &lt; 1 + $F26, 0, OFFSET( BH27, 0, - 1 * ( $F26 ) ) )</f>
        <v>0</v>
      </c>
      <c r="BI28" s="2">
        <f ca="1" xml:space="preserve">  IF( Time!BI28 &lt; 1 + $F26, 0, OFFSET( BI27, 0, - 1 * ( $F26 ) ) )</f>
        <v>0</v>
      </c>
      <c r="BJ28" s="2">
        <f ca="1" xml:space="preserve">  IF( Time!BJ28 &lt; 1 + $F26, 0, OFFSET( BJ27, 0, - 1 * ( $F26 ) ) )</f>
        <v>0</v>
      </c>
      <c r="BK28" s="2">
        <f ca="1" xml:space="preserve">  IF( Time!BK28 &lt; 1 + $F26, 0, OFFSET( BK27, 0, - 1 * ( $F26 ) ) )</f>
        <v>0</v>
      </c>
      <c r="BL28" s="2">
        <f ca="1" xml:space="preserve">  IF( Time!BL28 &lt; 1 + $F26, 0, OFFSET( BL27, 0, - 1 * ( $F26 ) ) )</f>
        <v>0</v>
      </c>
      <c r="BM28" s="2">
        <f ca="1" xml:space="preserve">  IF( Time!BM28 &lt; 1 + $F26, 0, OFFSET( BM27, 0, - 1 * ( $F26 ) ) )</f>
        <v>0</v>
      </c>
      <c r="BN28" s="2">
        <f ca="1" xml:space="preserve">  IF( Time!BN28 &lt; 1 + $F26, 0, OFFSET( BN27, 0, - 1 * ( $F26 ) ) )</f>
        <v>0</v>
      </c>
      <c r="BO28" s="2">
        <f ca="1" xml:space="preserve">  IF( Time!BO28 &lt; 1 + $F26, 0, OFFSET( BO27, 0, - 1 * ( $F26 ) ) )</f>
        <v>0</v>
      </c>
      <c r="BP28" s="2">
        <f ca="1" xml:space="preserve">  IF( Time!BP28 &lt; 1 + $F26, 0, OFFSET( BP27, 0, - 1 * ( $F26 ) ) )</f>
        <v>0</v>
      </c>
      <c r="BQ28" s="2">
        <f ca="1" xml:space="preserve">  IF( Time!BQ28 &lt; 1 + $F26, 0, OFFSET( BQ27, 0, - 1 * ( $F26 ) ) )</f>
        <v>0</v>
      </c>
    </row>
    <row r="29" spans="1:69" outlineLevel="1">
      <c r="A29" s="34"/>
      <c r="B29" s="34"/>
      <c r="C29" s="64"/>
      <c r="D29" s="65"/>
      <c r="E29" s="21" t="str">
        <f xml:space="preserve"> LEFT($E$28, LEN($E$28) - 3 )</f>
        <v xml:space="preserve">Supply Chain Finance principal repayment </v>
      </c>
      <c r="F29" s="21"/>
      <c r="G29" s="21" t="str">
        <f xml:space="preserve"> G$28</f>
        <v>GBP</v>
      </c>
      <c r="H29" s="3">
        <f t="shared" ca="1" si="7"/>
        <v>0</v>
      </c>
      <c r="I29" s="21"/>
      <c r="J29" s="3">
        <f t="shared" ref="J29:BQ29" ca="1" si="8" xml:space="preserve"> -1 * J28</f>
        <v>0</v>
      </c>
      <c r="K29" s="3">
        <f t="shared" ca="1" si="8"/>
        <v>0</v>
      </c>
      <c r="L29" s="3">
        <f t="shared" ca="1" si="8"/>
        <v>0</v>
      </c>
      <c r="M29" s="3">
        <f t="shared" ca="1" si="8"/>
        <v>0</v>
      </c>
      <c r="N29" s="3">
        <f t="shared" ca="1" si="8"/>
        <v>0</v>
      </c>
      <c r="O29" s="3">
        <f t="shared" ca="1" si="8"/>
        <v>0</v>
      </c>
      <c r="P29" s="3">
        <f t="shared" ca="1" si="8"/>
        <v>0</v>
      </c>
      <c r="Q29" s="3">
        <f t="shared" ca="1" si="8"/>
        <v>0</v>
      </c>
      <c r="R29" s="3">
        <f t="shared" ca="1" si="8"/>
        <v>0</v>
      </c>
      <c r="S29" s="3">
        <f t="shared" ca="1" si="8"/>
        <v>0</v>
      </c>
      <c r="T29" s="3">
        <f t="shared" ca="1" si="8"/>
        <v>0</v>
      </c>
      <c r="U29" s="3">
        <f t="shared" ca="1" si="8"/>
        <v>0</v>
      </c>
      <c r="V29" s="3">
        <f t="shared" ca="1" si="8"/>
        <v>0</v>
      </c>
      <c r="W29" s="3">
        <f t="shared" ca="1" si="8"/>
        <v>0</v>
      </c>
      <c r="X29" s="3">
        <f t="shared" ca="1" si="8"/>
        <v>0</v>
      </c>
      <c r="Y29" s="3">
        <f t="shared" ca="1" si="8"/>
        <v>0</v>
      </c>
      <c r="Z29" s="3">
        <f t="shared" ca="1" si="8"/>
        <v>0</v>
      </c>
      <c r="AA29" s="3">
        <f t="shared" ca="1" si="8"/>
        <v>0</v>
      </c>
      <c r="AB29" s="3">
        <f t="shared" ca="1" si="8"/>
        <v>0</v>
      </c>
      <c r="AC29" s="3">
        <f t="shared" ca="1" si="8"/>
        <v>0</v>
      </c>
      <c r="AD29" s="3">
        <f t="shared" ca="1" si="8"/>
        <v>0</v>
      </c>
      <c r="AE29" s="3">
        <f t="shared" ca="1" si="8"/>
        <v>0</v>
      </c>
      <c r="AF29" s="3">
        <f t="shared" ca="1" si="8"/>
        <v>0</v>
      </c>
      <c r="AG29" s="3">
        <f t="shared" ca="1" si="8"/>
        <v>0</v>
      </c>
      <c r="AH29" s="3">
        <f t="shared" ca="1" si="8"/>
        <v>0</v>
      </c>
      <c r="AI29" s="3">
        <f t="shared" ca="1" si="8"/>
        <v>0</v>
      </c>
      <c r="AJ29" s="3">
        <f t="shared" ca="1" si="8"/>
        <v>0</v>
      </c>
      <c r="AK29" s="3">
        <f t="shared" ca="1" si="8"/>
        <v>0</v>
      </c>
      <c r="AL29" s="3">
        <f t="shared" ca="1" si="8"/>
        <v>0</v>
      </c>
      <c r="AM29" s="3">
        <f t="shared" ca="1" si="8"/>
        <v>0</v>
      </c>
      <c r="AN29" s="3">
        <f t="shared" ca="1" si="8"/>
        <v>0</v>
      </c>
      <c r="AO29" s="3">
        <f t="shared" ca="1" si="8"/>
        <v>0</v>
      </c>
      <c r="AP29" s="3">
        <f t="shared" ca="1" si="8"/>
        <v>0</v>
      </c>
      <c r="AQ29" s="3">
        <f t="shared" ca="1" si="8"/>
        <v>0</v>
      </c>
      <c r="AR29" s="3">
        <f t="shared" ca="1" si="8"/>
        <v>0</v>
      </c>
      <c r="AS29" s="3">
        <f t="shared" ca="1" si="8"/>
        <v>0</v>
      </c>
      <c r="AT29" s="3">
        <f t="shared" ca="1" si="8"/>
        <v>0</v>
      </c>
      <c r="AU29" s="3">
        <f t="shared" ca="1" si="8"/>
        <v>0</v>
      </c>
      <c r="AV29" s="3">
        <f t="shared" ca="1" si="8"/>
        <v>0</v>
      </c>
      <c r="AW29" s="3">
        <f t="shared" ca="1" si="8"/>
        <v>0</v>
      </c>
      <c r="AX29" s="3">
        <f t="shared" ca="1" si="8"/>
        <v>0</v>
      </c>
      <c r="AY29" s="3">
        <f t="shared" ca="1" si="8"/>
        <v>0</v>
      </c>
      <c r="AZ29" s="3">
        <f t="shared" ca="1" si="8"/>
        <v>0</v>
      </c>
      <c r="BA29" s="3">
        <f t="shared" ca="1" si="8"/>
        <v>0</v>
      </c>
      <c r="BB29" s="3">
        <f t="shared" ca="1" si="8"/>
        <v>0</v>
      </c>
      <c r="BC29" s="3">
        <f t="shared" ca="1" si="8"/>
        <v>0</v>
      </c>
      <c r="BD29" s="3">
        <f t="shared" ca="1" si="8"/>
        <v>0</v>
      </c>
      <c r="BE29" s="3">
        <f t="shared" ca="1" si="8"/>
        <v>0</v>
      </c>
      <c r="BF29" s="3">
        <f t="shared" ca="1" si="8"/>
        <v>0</v>
      </c>
      <c r="BG29" s="3">
        <f t="shared" ca="1" si="8"/>
        <v>0</v>
      </c>
      <c r="BH29" s="3">
        <f t="shared" ca="1" si="8"/>
        <v>0</v>
      </c>
      <c r="BI29" s="3">
        <f t="shared" ca="1" si="8"/>
        <v>0</v>
      </c>
      <c r="BJ29" s="3">
        <f t="shared" ca="1" si="8"/>
        <v>0</v>
      </c>
      <c r="BK29" s="3">
        <f t="shared" ca="1" si="8"/>
        <v>0</v>
      </c>
      <c r="BL29" s="3">
        <f t="shared" ca="1" si="8"/>
        <v>0</v>
      </c>
      <c r="BM29" s="3">
        <f t="shared" ca="1" si="8"/>
        <v>0</v>
      </c>
      <c r="BN29" s="3">
        <f t="shared" ca="1" si="8"/>
        <v>0</v>
      </c>
      <c r="BO29" s="3">
        <f t="shared" ca="1" si="8"/>
        <v>0</v>
      </c>
      <c r="BP29" s="3">
        <f t="shared" ca="1" si="8"/>
        <v>0</v>
      </c>
      <c r="BQ29" s="3">
        <f t="shared" ca="1" si="8"/>
        <v>0</v>
      </c>
    </row>
    <row r="32" spans="1:69">
      <c r="B32" s="25" t="s">
        <v>151</v>
      </c>
    </row>
    <row r="33" spans="1:69" outlineLevel="1">
      <c r="E33" s="2" t="str">
        <f t="shared" ref="E33:BQ33" si="9" xml:space="preserve">  E$41</f>
        <v>Supply Chain Finance interest POS</v>
      </c>
      <c r="F33" s="2">
        <f t="shared" si="9"/>
        <v>0</v>
      </c>
      <c r="G33" s="2" t="str">
        <f t="shared" si="9"/>
        <v>GBP</v>
      </c>
      <c r="H33" s="2">
        <f t="shared" ca="1" si="9"/>
        <v>0</v>
      </c>
      <c r="I33" s="2">
        <f t="shared" si="9"/>
        <v>0</v>
      </c>
      <c r="J33" s="2">
        <f t="shared" si="9"/>
        <v>0</v>
      </c>
      <c r="K33" s="2">
        <f t="shared" ca="1" si="9"/>
        <v>0</v>
      </c>
      <c r="L33" s="2">
        <f t="shared" ca="1" si="9"/>
        <v>0</v>
      </c>
      <c r="M33" s="2">
        <f t="shared" ca="1" si="9"/>
        <v>0</v>
      </c>
      <c r="N33" s="2">
        <f t="shared" ca="1" si="9"/>
        <v>0</v>
      </c>
      <c r="O33" s="2">
        <f t="shared" ca="1" si="9"/>
        <v>0</v>
      </c>
      <c r="P33" s="2">
        <f t="shared" ca="1" si="9"/>
        <v>0</v>
      </c>
      <c r="Q33" s="2">
        <f t="shared" ca="1" si="9"/>
        <v>0</v>
      </c>
      <c r="R33" s="2">
        <f t="shared" ca="1" si="9"/>
        <v>0</v>
      </c>
      <c r="S33" s="2">
        <f t="shared" ca="1" si="9"/>
        <v>0</v>
      </c>
      <c r="T33" s="2">
        <f t="shared" ca="1" si="9"/>
        <v>0</v>
      </c>
      <c r="U33" s="2">
        <f t="shared" ca="1" si="9"/>
        <v>0</v>
      </c>
      <c r="V33" s="2">
        <f t="shared" ca="1" si="9"/>
        <v>0</v>
      </c>
      <c r="W33" s="2">
        <f t="shared" ca="1" si="9"/>
        <v>0</v>
      </c>
      <c r="X33" s="2">
        <f t="shared" ca="1" si="9"/>
        <v>0</v>
      </c>
      <c r="Y33" s="2">
        <f t="shared" ca="1" si="9"/>
        <v>0</v>
      </c>
      <c r="Z33" s="2">
        <f t="shared" ca="1" si="9"/>
        <v>0</v>
      </c>
      <c r="AA33" s="2">
        <f t="shared" ca="1" si="9"/>
        <v>0</v>
      </c>
      <c r="AB33" s="2">
        <f t="shared" ca="1" si="9"/>
        <v>0</v>
      </c>
      <c r="AC33" s="2">
        <f t="shared" ca="1" si="9"/>
        <v>0</v>
      </c>
      <c r="AD33" s="2">
        <f t="shared" ca="1" si="9"/>
        <v>0</v>
      </c>
      <c r="AE33" s="2">
        <f t="shared" ca="1" si="9"/>
        <v>0</v>
      </c>
      <c r="AF33" s="2">
        <f t="shared" ca="1" si="9"/>
        <v>0</v>
      </c>
      <c r="AG33" s="2">
        <f t="shared" ca="1" si="9"/>
        <v>0</v>
      </c>
      <c r="AH33" s="2">
        <f t="shared" ca="1" si="9"/>
        <v>0</v>
      </c>
      <c r="AI33" s="2">
        <f t="shared" ca="1" si="9"/>
        <v>0</v>
      </c>
      <c r="AJ33" s="2">
        <f t="shared" ca="1" si="9"/>
        <v>0</v>
      </c>
      <c r="AK33" s="2">
        <f t="shared" ca="1" si="9"/>
        <v>0</v>
      </c>
      <c r="AL33" s="2">
        <f t="shared" ca="1" si="9"/>
        <v>0</v>
      </c>
      <c r="AM33" s="2">
        <f t="shared" ca="1" si="9"/>
        <v>0</v>
      </c>
      <c r="AN33" s="2">
        <f t="shared" ca="1" si="9"/>
        <v>0</v>
      </c>
      <c r="AO33" s="2">
        <f t="shared" ca="1" si="9"/>
        <v>0</v>
      </c>
      <c r="AP33" s="2">
        <f t="shared" ca="1" si="9"/>
        <v>0</v>
      </c>
      <c r="AQ33" s="2">
        <f t="shared" ca="1" si="9"/>
        <v>0</v>
      </c>
      <c r="AR33" s="2">
        <f t="shared" ca="1" si="9"/>
        <v>0</v>
      </c>
      <c r="AS33" s="2">
        <f t="shared" ca="1" si="9"/>
        <v>0</v>
      </c>
      <c r="AT33" s="2">
        <f t="shared" ca="1" si="9"/>
        <v>0</v>
      </c>
      <c r="AU33" s="2">
        <f t="shared" ca="1" si="9"/>
        <v>0</v>
      </c>
      <c r="AV33" s="2">
        <f t="shared" ca="1" si="9"/>
        <v>0</v>
      </c>
      <c r="AW33" s="2">
        <f t="shared" ca="1" si="9"/>
        <v>0</v>
      </c>
      <c r="AX33" s="2">
        <f t="shared" ca="1" si="9"/>
        <v>0</v>
      </c>
      <c r="AY33" s="2">
        <f t="shared" ca="1" si="9"/>
        <v>0</v>
      </c>
      <c r="AZ33" s="2">
        <f t="shared" ca="1" si="9"/>
        <v>0</v>
      </c>
      <c r="BA33" s="2">
        <f t="shared" ca="1" si="9"/>
        <v>0</v>
      </c>
      <c r="BB33" s="2">
        <f t="shared" ca="1" si="9"/>
        <v>0</v>
      </c>
      <c r="BC33" s="2">
        <f t="shared" ca="1" si="9"/>
        <v>0</v>
      </c>
      <c r="BD33" s="2">
        <f t="shared" ca="1" si="9"/>
        <v>0</v>
      </c>
      <c r="BE33" s="2">
        <f t="shared" ca="1" si="9"/>
        <v>0</v>
      </c>
      <c r="BF33" s="2">
        <f t="shared" ca="1" si="9"/>
        <v>0</v>
      </c>
      <c r="BG33" s="2">
        <f t="shared" ca="1" si="9"/>
        <v>0</v>
      </c>
      <c r="BH33" s="2">
        <f t="shared" ca="1" si="9"/>
        <v>0</v>
      </c>
      <c r="BI33" s="2">
        <f t="shared" ca="1" si="9"/>
        <v>0</v>
      </c>
      <c r="BJ33" s="2">
        <f t="shared" ca="1" si="9"/>
        <v>0</v>
      </c>
      <c r="BK33" s="2">
        <f t="shared" ca="1" si="9"/>
        <v>0</v>
      </c>
      <c r="BL33" s="2">
        <f t="shared" ca="1" si="9"/>
        <v>0</v>
      </c>
      <c r="BM33" s="2">
        <f t="shared" ca="1" si="9"/>
        <v>0</v>
      </c>
      <c r="BN33" s="2">
        <f t="shared" ca="1" si="9"/>
        <v>0</v>
      </c>
      <c r="BO33" s="2">
        <f t="shared" ca="1" si="9"/>
        <v>0</v>
      </c>
      <c r="BP33" s="2">
        <f t="shared" ca="1" si="9"/>
        <v>0</v>
      </c>
      <c r="BQ33" s="2">
        <f t="shared" ca="1" si="9"/>
        <v>0</v>
      </c>
    </row>
    <row r="34" spans="1:69" outlineLevel="1">
      <c r="E34" s="2" t="str">
        <f t="shared" ref="E34:BQ34" si="10" xml:space="preserve">  E$47</f>
        <v>Supply Chain Finance interest paid POS</v>
      </c>
      <c r="F34" s="2">
        <f t="shared" si="10"/>
        <v>0</v>
      </c>
      <c r="G34" s="2" t="str">
        <f t="shared" si="10"/>
        <v>GBP</v>
      </c>
      <c r="H34" s="2">
        <f t="shared" ca="1" si="10"/>
        <v>0</v>
      </c>
      <c r="I34" s="2">
        <f t="shared" si="10"/>
        <v>0</v>
      </c>
      <c r="J34" s="2">
        <f t="shared" si="10"/>
        <v>0</v>
      </c>
      <c r="K34" s="2">
        <f t="shared" ca="1" si="10"/>
        <v>0</v>
      </c>
      <c r="L34" s="2">
        <f t="shared" ca="1" si="10"/>
        <v>0</v>
      </c>
      <c r="M34" s="2">
        <f t="shared" ca="1" si="10"/>
        <v>0</v>
      </c>
      <c r="N34" s="2">
        <f t="shared" ca="1" si="10"/>
        <v>0</v>
      </c>
      <c r="O34" s="2">
        <f t="shared" ca="1" si="10"/>
        <v>0</v>
      </c>
      <c r="P34" s="2">
        <f t="shared" ca="1" si="10"/>
        <v>0</v>
      </c>
      <c r="Q34" s="2">
        <f t="shared" ca="1" si="10"/>
        <v>0</v>
      </c>
      <c r="R34" s="2">
        <f t="shared" ca="1" si="10"/>
        <v>0</v>
      </c>
      <c r="S34" s="2">
        <f t="shared" ca="1" si="10"/>
        <v>0</v>
      </c>
      <c r="T34" s="2">
        <f t="shared" ca="1" si="10"/>
        <v>0</v>
      </c>
      <c r="U34" s="2">
        <f t="shared" ca="1" si="10"/>
        <v>0</v>
      </c>
      <c r="V34" s="2">
        <f t="shared" ca="1" si="10"/>
        <v>0</v>
      </c>
      <c r="W34" s="2">
        <f t="shared" ca="1" si="10"/>
        <v>0</v>
      </c>
      <c r="X34" s="2">
        <f t="shared" ca="1" si="10"/>
        <v>0</v>
      </c>
      <c r="Y34" s="2">
        <f t="shared" ca="1" si="10"/>
        <v>0</v>
      </c>
      <c r="Z34" s="2">
        <f t="shared" ca="1" si="10"/>
        <v>0</v>
      </c>
      <c r="AA34" s="2">
        <f t="shared" ca="1" si="10"/>
        <v>0</v>
      </c>
      <c r="AB34" s="2">
        <f t="shared" ca="1" si="10"/>
        <v>0</v>
      </c>
      <c r="AC34" s="2">
        <f t="shared" ca="1" si="10"/>
        <v>0</v>
      </c>
      <c r="AD34" s="2">
        <f t="shared" ca="1" si="10"/>
        <v>0</v>
      </c>
      <c r="AE34" s="2">
        <f t="shared" ca="1" si="10"/>
        <v>0</v>
      </c>
      <c r="AF34" s="2">
        <f t="shared" ca="1" si="10"/>
        <v>0</v>
      </c>
      <c r="AG34" s="2">
        <f t="shared" ca="1" si="10"/>
        <v>0</v>
      </c>
      <c r="AH34" s="2">
        <f t="shared" ca="1" si="10"/>
        <v>0</v>
      </c>
      <c r="AI34" s="2">
        <f t="shared" ca="1" si="10"/>
        <v>0</v>
      </c>
      <c r="AJ34" s="2">
        <f t="shared" ca="1" si="10"/>
        <v>0</v>
      </c>
      <c r="AK34" s="2">
        <f t="shared" ca="1" si="10"/>
        <v>0</v>
      </c>
      <c r="AL34" s="2">
        <f t="shared" ca="1" si="10"/>
        <v>0</v>
      </c>
      <c r="AM34" s="2">
        <f t="shared" ca="1" si="10"/>
        <v>0</v>
      </c>
      <c r="AN34" s="2">
        <f t="shared" ca="1" si="10"/>
        <v>0</v>
      </c>
      <c r="AO34" s="2">
        <f t="shared" ca="1" si="10"/>
        <v>0</v>
      </c>
      <c r="AP34" s="2">
        <f t="shared" ca="1" si="10"/>
        <v>0</v>
      </c>
      <c r="AQ34" s="2">
        <f t="shared" ca="1" si="10"/>
        <v>0</v>
      </c>
      <c r="AR34" s="2">
        <f t="shared" ca="1" si="10"/>
        <v>0</v>
      </c>
      <c r="AS34" s="2">
        <f t="shared" ca="1" si="10"/>
        <v>0</v>
      </c>
      <c r="AT34" s="2">
        <f t="shared" ca="1" si="10"/>
        <v>0</v>
      </c>
      <c r="AU34" s="2">
        <f t="shared" ca="1" si="10"/>
        <v>0</v>
      </c>
      <c r="AV34" s="2">
        <f t="shared" ca="1" si="10"/>
        <v>0</v>
      </c>
      <c r="AW34" s="2">
        <f t="shared" ca="1" si="10"/>
        <v>0</v>
      </c>
      <c r="AX34" s="2">
        <f t="shared" ca="1" si="10"/>
        <v>0</v>
      </c>
      <c r="AY34" s="2">
        <f t="shared" ca="1" si="10"/>
        <v>0</v>
      </c>
      <c r="AZ34" s="2">
        <f t="shared" ca="1" si="10"/>
        <v>0</v>
      </c>
      <c r="BA34" s="2">
        <f t="shared" ca="1" si="10"/>
        <v>0</v>
      </c>
      <c r="BB34" s="2">
        <f t="shared" ca="1" si="10"/>
        <v>0</v>
      </c>
      <c r="BC34" s="2">
        <f t="shared" ca="1" si="10"/>
        <v>0</v>
      </c>
      <c r="BD34" s="2">
        <f t="shared" ca="1" si="10"/>
        <v>0</v>
      </c>
      <c r="BE34" s="2">
        <f t="shared" ca="1" si="10"/>
        <v>0</v>
      </c>
      <c r="BF34" s="2">
        <f t="shared" ca="1" si="10"/>
        <v>0</v>
      </c>
      <c r="BG34" s="2">
        <f t="shared" ca="1" si="10"/>
        <v>0</v>
      </c>
      <c r="BH34" s="2">
        <f t="shared" ca="1" si="10"/>
        <v>0</v>
      </c>
      <c r="BI34" s="2">
        <f t="shared" ca="1" si="10"/>
        <v>0</v>
      </c>
      <c r="BJ34" s="2">
        <f t="shared" ca="1" si="10"/>
        <v>0</v>
      </c>
      <c r="BK34" s="2">
        <f t="shared" ca="1" si="10"/>
        <v>0</v>
      </c>
      <c r="BL34" s="2">
        <f t="shared" ca="1" si="10"/>
        <v>0</v>
      </c>
      <c r="BM34" s="2">
        <f t="shared" ca="1" si="10"/>
        <v>0</v>
      </c>
      <c r="BN34" s="2">
        <f t="shared" ca="1" si="10"/>
        <v>0</v>
      </c>
      <c r="BO34" s="2">
        <f t="shared" ca="1" si="10"/>
        <v>0</v>
      </c>
      <c r="BP34" s="2">
        <f t="shared" ca="1" si="10"/>
        <v>0</v>
      </c>
      <c r="BQ34" s="2">
        <f t="shared" ca="1" si="10"/>
        <v>0</v>
      </c>
    </row>
    <row r="35" spans="1:69" outlineLevel="1">
      <c r="E35" s="47" t="s">
        <v>151</v>
      </c>
      <c r="G35" s="47" t="s">
        <v>257</v>
      </c>
      <c r="H35" s="2">
        <f ca="1" xml:space="preserve"> SUM( J35:BQ35 )</f>
        <v>0</v>
      </c>
      <c r="J35" s="2">
        <f t="shared" ref="J35:BQ35" si="11" xml:space="preserve">  J33 - J34</f>
        <v>0</v>
      </c>
      <c r="K35" s="2">
        <f t="shared" ca="1" si="11"/>
        <v>0</v>
      </c>
      <c r="L35" s="2">
        <f t="shared" ca="1" si="11"/>
        <v>0</v>
      </c>
      <c r="M35" s="2">
        <f t="shared" ca="1" si="11"/>
        <v>0</v>
      </c>
      <c r="N35" s="2">
        <f t="shared" ca="1" si="11"/>
        <v>0</v>
      </c>
      <c r="O35" s="2">
        <f t="shared" ca="1" si="11"/>
        <v>0</v>
      </c>
      <c r="P35" s="2">
        <f t="shared" ca="1" si="11"/>
        <v>0</v>
      </c>
      <c r="Q35" s="2">
        <f t="shared" ca="1" si="11"/>
        <v>0</v>
      </c>
      <c r="R35" s="2">
        <f t="shared" ca="1" si="11"/>
        <v>0</v>
      </c>
      <c r="S35" s="2">
        <f t="shared" ca="1" si="11"/>
        <v>0</v>
      </c>
      <c r="T35" s="2">
        <f t="shared" ca="1" si="11"/>
        <v>0</v>
      </c>
      <c r="U35" s="2">
        <f t="shared" ca="1" si="11"/>
        <v>0</v>
      </c>
      <c r="V35" s="2">
        <f t="shared" ca="1" si="11"/>
        <v>0</v>
      </c>
      <c r="W35" s="2">
        <f t="shared" ca="1" si="11"/>
        <v>0</v>
      </c>
      <c r="X35" s="2">
        <f t="shared" ca="1" si="11"/>
        <v>0</v>
      </c>
      <c r="Y35" s="2">
        <f t="shared" ca="1" si="11"/>
        <v>0</v>
      </c>
      <c r="Z35" s="2">
        <f t="shared" ca="1" si="11"/>
        <v>0</v>
      </c>
      <c r="AA35" s="2">
        <f t="shared" ca="1" si="11"/>
        <v>0</v>
      </c>
      <c r="AB35" s="2">
        <f t="shared" ca="1" si="11"/>
        <v>0</v>
      </c>
      <c r="AC35" s="2">
        <f t="shared" ca="1" si="11"/>
        <v>0</v>
      </c>
      <c r="AD35" s="2">
        <f t="shared" ca="1" si="11"/>
        <v>0</v>
      </c>
      <c r="AE35" s="2">
        <f t="shared" ca="1" si="11"/>
        <v>0</v>
      </c>
      <c r="AF35" s="2">
        <f t="shared" ca="1" si="11"/>
        <v>0</v>
      </c>
      <c r="AG35" s="2">
        <f t="shared" ca="1" si="11"/>
        <v>0</v>
      </c>
      <c r="AH35" s="2">
        <f t="shared" ca="1" si="11"/>
        <v>0</v>
      </c>
      <c r="AI35" s="2">
        <f t="shared" ca="1" si="11"/>
        <v>0</v>
      </c>
      <c r="AJ35" s="2">
        <f t="shared" ca="1" si="11"/>
        <v>0</v>
      </c>
      <c r="AK35" s="2">
        <f t="shared" ca="1" si="11"/>
        <v>0</v>
      </c>
      <c r="AL35" s="2">
        <f t="shared" ca="1" si="11"/>
        <v>0</v>
      </c>
      <c r="AM35" s="2">
        <f t="shared" ca="1" si="11"/>
        <v>0</v>
      </c>
      <c r="AN35" s="2">
        <f t="shared" ca="1" si="11"/>
        <v>0</v>
      </c>
      <c r="AO35" s="2">
        <f t="shared" ca="1" si="11"/>
        <v>0</v>
      </c>
      <c r="AP35" s="2">
        <f t="shared" ca="1" si="11"/>
        <v>0</v>
      </c>
      <c r="AQ35" s="2">
        <f t="shared" ca="1" si="11"/>
        <v>0</v>
      </c>
      <c r="AR35" s="2">
        <f t="shared" ca="1" si="11"/>
        <v>0</v>
      </c>
      <c r="AS35" s="2">
        <f t="shared" ca="1" si="11"/>
        <v>0</v>
      </c>
      <c r="AT35" s="2">
        <f t="shared" ca="1" si="11"/>
        <v>0</v>
      </c>
      <c r="AU35" s="2">
        <f t="shared" ca="1" si="11"/>
        <v>0</v>
      </c>
      <c r="AV35" s="2">
        <f t="shared" ca="1" si="11"/>
        <v>0</v>
      </c>
      <c r="AW35" s="2">
        <f t="shared" ca="1" si="11"/>
        <v>0</v>
      </c>
      <c r="AX35" s="2">
        <f t="shared" ca="1" si="11"/>
        <v>0</v>
      </c>
      <c r="AY35" s="2">
        <f t="shared" ca="1" si="11"/>
        <v>0</v>
      </c>
      <c r="AZ35" s="2">
        <f t="shared" ca="1" si="11"/>
        <v>0</v>
      </c>
      <c r="BA35" s="2">
        <f t="shared" ca="1" si="11"/>
        <v>0</v>
      </c>
      <c r="BB35" s="2">
        <f t="shared" ca="1" si="11"/>
        <v>0</v>
      </c>
      <c r="BC35" s="2">
        <f t="shared" ca="1" si="11"/>
        <v>0</v>
      </c>
      <c r="BD35" s="2">
        <f t="shared" ca="1" si="11"/>
        <v>0</v>
      </c>
      <c r="BE35" s="2">
        <f t="shared" ca="1" si="11"/>
        <v>0</v>
      </c>
      <c r="BF35" s="2">
        <f t="shared" ca="1" si="11"/>
        <v>0</v>
      </c>
      <c r="BG35" s="2">
        <f t="shared" ca="1" si="11"/>
        <v>0</v>
      </c>
      <c r="BH35" s="2">
        <f t="shared" ca="1" si="11"/>
        <v>0</v>
      </c>
      <c r="BI35" s="2">
        <f t="shared" ca="1" si="11"/>
        <v>0</v>
      </c>
      <c r="BJ35" s="2">
        <f t="shared" ca="1" si="11"/>
        <v>0</v>
      </c>
      <c r="BK35" s="2">
        <f t="shared" ca="1" si="11"/>
        <v>0</v>
      </c>
      <c r="BL35" s="2">
        <f t="shared" ca="1" si="11"/>
        <v>0</v>
      </c>
      <c r="BM35" s="2">
        <f t="shared" ca="1" si="11"/>
        <v>0</v>
      </c>
      <c r="BN35" s="2">
        <f t="shared" ca="1" si="11"/>
        <v>0</v>
      </c>
      <c r="BO35" s="2">
        <f t="shared" ca="1" si="11"/>
        <v>0</v>
      </c>
      <c r="BP35" s="2">
        <f t="shared" ca="1" si="11"/>
        <v>0</v>
      </c>
      <c r="BQ35" s="2">
        <f t="shared" ca="1" si="11"/>
        <v>0</v>
      </c>
    </row>
    <row r="38" spans="1:69">
      <c r="B38" s="25" t="s">
        <v>112</v>
      </c>
    </row>
    <row r="39" spans="1:69" outlineLevel="1">
      <c r="E39" s="57" t="str">
        <f t="shared" ref="E39:G39" si="12" xml:space="preserve">  E$55</f>
        <v>Supply Chain Finance period interest rate</v>
      </c>
      <c r="F39" s="57">
        <f t="shared" si="12"/>
        <v>6.6666666666666671E-3</v>
      </c>
      <c r="G39" s="57" t="str">
        <f t="shared" si="12"/>
        <v>%</v>
      </c>
      <c r="M39" s="57"/>
    </row>
    <row r="40" spans="1:69" outlineLevel="1">
      <c r="E40" s="2" t="str">
        <f t="shared" ref="E40:BQ40" si="13" xml:space="preserve">  E$11</f>
        <v>Supply Chain Finance balance BEG</v>
      </c>
      <c r="F40" s="2">
        <f t="shared" si="13"/>
        <v>0</v>
      </c>
      <c r="G40" s="2" t="str">
        <f t="shared" si="13"/>
        <v>GBP</v>
      </c>
      <c r="H40" s="2">
        <f t="shared" si="13"/>
        <v>0</v>
      </c>
      <c r="I40" s="2">
        <f t="shared" si="13"/>
        <v>0</v>
      </c>
      <c r="J40" s="2">
        <f t="shared" si="13"/>
        <v>0</v>
      </c>
      <c r="K40" s="2">
        <f t="shared" ca="1" si="13"/>
        <v>0</v>
      </c>
      <c r="L40" s="2">
        <f t="shared" ca="1" si="13"/>
        <v>0</v>
      </c>
      <c r="M40" s="2">
        <f t="shared" ca="1" si="13"/>
        <v>0</v>
      </c>
      <c r="N40" s="2">
        <f t="shared" ca="1" si="13"/>
        <v>0</v>
      </c>
      <c r="O40" s="2">
        <f t="shared" ca="1" si="13"/>
        <v>0</v>
      </c>
      <c r="P40" s="2">
        <f t="shared" ca="1" si="13"/>
        <v>0</v>
      </c>
      <c r="Q40" s="2">
        <f t="shared" ca="1" si="13"/>
        <v>0</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286</v>
      </c>
      <c r="G41" s="47" t="s">
        <v>257</v>
      </c>
      <c r="H41" s="2">
        <f t="shared" ref="H41:H42" ca="1" si="14" xml:space="preserve"> SUM( J41:BQ41 )</f>
        <v>0</v>
      </c>
      <c r="J41" s="2">
        <f t="shared" ref="J41:BQ41" si="15" xml:space="preserve">  $F39 * J40</f>
        <v>0</v>
      </c>
      <c r="K41" s="2">
        <f t="shared" ca="1" si="15"/>
        <v>0</v>
      </c>
      <c r="L41" s="2">
        <f t="shared" ca="1" si="15"/>
        <v>0</v>
      </c>
      <c r="M41" s="2">
        <f t="shared" ca="1" si="15"/>
        <v>0</v>
      </c>
      <c r="N41" s="2">
        <f t="shared" ca="1" si="15"/>
        <v>0</v>
      </c>
      <c r="O41" s="2">
        <f t="shared" ca="1" si="15"/>
        <v>0</v>
      </c>
      <c r="P41" s="2">
        <f t="shared" ca="1" si="15"/>
        <v>0</v>
      </c>
      <c r="Q41" s="2">
        <f t="shared" ca="1" si="15"/>
        <v>0</v>
      </c>
      <c r="R41" s="2">
        <f t="shared" ca="1" si="15"/>
        <v>0</v>
      </c>
      <c r="S41" s="2">
        <f t="shared" ca="1" si="15"/>
        <v>0</v>
      </c>
      <c r="T41" s="2">
        <f t="shared" ca="1" si="15"/>
        <v>0</v>
      </c>
      <c r="U41" s="2">
        <f t="shared" ca="1" si="15"/>
        <v>0</v>
      </c>
      <c r="V41" s="2">
        <f t="shared" ca="1" si="15"/>
        <v>0</v>
      </c>
      <c r="W41" s="2">
        <f t="shared" ca="1" si="15"/>
        <v>0</v>
      </c>
      <c r="X41" s="2">
        <f t="shared" ca="1" si="15"/>
        <v>0</v>
      </c>
      <c r="Y41" s="2">
        <f t="shared" ca="1" si="15"/>
        <v>0</v>
      </c>
      <c r="Z41" s="2">
        <f t="shared" ca="1" si="15"/>
        <v>0</v>
      </c>
      <c r="AA41" s="2">
        <f t="shared" ca="1" si="15"/>
        <v>0</v>
      </c>
      <c r="AB41" s="2">
        <f t="shared" ca="1" si="15"/>
        <v>0</v>
      </c>
      <c r="AC41" s="2">
        <f t="shared" ca="1" si="15"/>
        <v>0</v>
      </c>
      <c r="AD41" s="2">
        <f t="shared" ca="1" si="15"/>
        <v>0</v>
      </c>
      <c r="AE41" s="2">
        <f t="shared" ca="1" si="15"/>
        <v>0</v>
      </c>
      <c r="AF41" s="2">
        <f t="shared" ca="1" si="15"/>
        <v>0</v>
      </c>
      <c r="AG41" s="2">
        <f t="shared" ca="1" si="15"/>
        <v>0</v>
      </c>
      <c r="AH41" s="2">
        <f t="shared" ca="1" si="15"/>
        <v>0</v>
      </c>
      <c r="AI41" s="2">
        <f t="shared" ca="1" si="15"/>
        <v>0</v>
      </c>
      <c r="AJ41" s="2">
        <f t="shared" ca="1" si="15"/>
        <v>0</v>
      </c>
      <c r="AK41" s="2">
        <f t="shared" ca="1" si="15"/>
        <v>0</v>
      </c>
      <c r="AL41" s="2">
        <f t="shared" ca="1" si="15"/>
        <v>0</v>
      </c>
      <c r="AM41" s="2">
        <f t="shared" ca="1" si="15"/>
        <v>0</v>
      </c>
      <c r="AN41" s="2">
        <f t="shared" ca="1" si="15"/>
        <v>0</v>
      </c>
      <c r="AO41" s="2">
        <f t="shared" ca="1" si="15"/>
        <v>0</v>
      </c>
      <c r="AP41" s="2">
        <f t="shared" ca="1" si="15"/>
        <v>0</v>
      </c>
      <c r="AQ41" s="2">
        <f t="shared" ca="1" si="15"/>
        <v>0</v>
      </c>
      <c r="AR41" s="2">
        <f t="shared" ca="1" si="15"/>
        <v>0</v>
      </c>
      <c r="AS41" s="2">
        <f t="shared" ca="1" si="15"/>
        <v>0</v>
      </c>
      <c r="AT41" s="2">
        <f t="shared" ca="1" si="15"/>
        <v>0</v>
      </c>
      <c r="AU41" s="2">
        <f t="shared" ca="1" si="15"/>
        <v>0</v>
      </c>
      <c r="AV41" s="2">
        <f t="shared" ca="1" si="15"/>
        <v>0</v>
      </c>
      <c r="AW41" s="2">
        <f t="shared" ca="1" si="15"/>
        <v>0</v>
      </c>
      <c r="AX41" s="2">
        <f t="shared" ca="1" si="15"/>
        <v>0</v>
      </c>
      <c r="AY41" s="2">
        <f t="shared" ca="1" si="15"/>
        <v>0</v>
      </c>
      <c r="AZ41" s="2">
        <f t="shared" ca="1" si="15"/>
        <v>0</v>
      </c>
      <c r="BA41" s="2">
        <f t="shared" ca="1" si="15"/>
        <v>0</v>
      </c>
      <c r="BB41" s="2">
        <f t="shared" ca="1" si="15"/>
        <v>0</v>
      </c>
      <c r="BC41" s="2">
        <f t="shared" ca="1" si="15"/>
        <v>0</v>
      </c>
      <c r="BD41" s="2">
        <f t="shared" ca="1" si="15"/>
        <v>0</v>
      </c>
      <c r="BE41" s="2">
        <f t="shared" ca="1" si="15"/>
        <v>0</v>
      </c>
      <c r="BF41" s="2">
        <f t="shared" ca="1" si="15"/>
        <v>0</v>
      </c>
      <c r="BG41" s="2">
        <f t="shared" ca="1" si="15"/>
        <v>0</v>
      </c>
      <c r="BH41" s="2">
        <f t="shared" ca="1" si="15"/>
        <v>0</v>
      </c>
      <c r="BI41" s="2">
        <f t="shared" ca="1" si="15"/>
        <v>0</v>
      </c>
      <c r="BJ41" s="2">
        <f t="shared" ca="1" si="15"/>
        <v>0</v>
      </c>
      <c r="BK41" s="2">
        <f t="shared" ca="1" si="15"/>
        <v>0</v>
      </c>
      <c r="BL41" s="2">
        <f t="shared" ca="1" si="15"/>
        <v>0</v>
      </c>
      <c r="BM41" s="2">
        <f t="shared" ca="1" si="15"/>
        <v>0</v>
      </c>
      <c r="BN41" s="2">
        <f t="shared" ca="1" si="15"/>
        <v>0</v>
      </c>
      <c r="BO41" s="2">
        <f t="shared" ca="1" si="15"/>
        <v>0</v>
      </c>
      <c r="BP41" s="2">
        <f t="shared" ca="1" si="15"/>
        <v>0</v>
      </c>
      <c r="BQ41" s="2">
        <f t="shared" ca="1" si="15"/>
        <v>0</v>
      </c>
    </row>
    <row r="42" spans="1:69" outlineLevel="1">
      <c r="A42" s="34"/>
      <c r="B42" s="34"/>
      <c r="C42" s="64"/>
      <c r="D42" s="65"/>
      <c r="E42" s="21" t="str">
        <f xml:space="preserve"> LEFT($E$41, LEN($E$41) - 3 )</f>
        <v xml:space="preserve">Supply Chain Finance interest </v>
      </c>
      <c r="F42" s="21"/>
      <c r="G42" s="21" t="str">
        <f xml:space="preserve"> G$41</f>
        <v>GBP</v>
      </c>
      <c r="H42" s="3">
        <f t="shared" ca="1" si="14"/>
        <v>0</v>
      </c>
      <c r="I42" s="21"/>
      <c r="J42" s="3">
        <f t="shared" ref="J42:BQ42" si="16" xml:space="preserve"> -1 * J41</f>
        <v>0</v>
      </c>
      <c r="K42" s="3">
        <f t="shared" ca="1" si="16"/>
        <v>0</v>
      </c>
      <c r="L42" s="3">
        <f t="shared" ca="1" si="16"/>
        <v>0</v>
      </c>
      <c r="M42" s="3">
        <f t="shared" ca="1" si="16"/>
        <v>0</v>
      </c>
      <c r="N42" s="3">
        <f t="shared" ca="1" si="16"/>
        <v>0</v>
      </c>
      <c r="O42" s="3">
        <f t="shared" ca="1" si="16"/>
        <v>0</v>
      </c>
      <c r="P42" s="3">
        <f t="shared" ca="1" si="16"/>
        <v>0</v>
      </c>
      <c r="Q42" s="3">
        <f t="shared" ca="1" si="16"/>
        <v>0</v>
      </c>
      <c r="R42" s="3">
        <f t="shared" ca="1" si="16"/>
        <v>0</v>
      </c>
      <c r="S42" s="3">
        <f t="shared" ca="1" si="16"/>
        <v>0</v>
      </c>
      <c r="T42" s="3">
        <f t="shared" ca="1" si="16"/>
        <v>0</v>
      </c>
      <c r="U42" s="3">
        <f t="shared" ca="1" si="16"/>
        <v>0</v>
      </c>
      <c r="V42" s="3">
        <f t="shared" ca="1" si="16"/>
        <v>0</v>
      </c>
      <c r="W42" s="3">
        <f t="shared" ca="1" si="16"/>
        <v>0</v>
      </c>
      <c r="X42" s="3">
        <f t="shared" ca="1" si="16"/>
        <v>0</v>
      </c>
      <c r="Y42" s="3">
        <f t="shared" ca="1" si="16"/>
        <v>0</v>
      </c>
      <c r="Z42" s="3">
        <f t="shared" ca="1" si="16"/>
        <v>0</v>
      </c>
      <c r="AA42" s="3">
        <f t="shared" ca="1" si="16"/>
        <v>0</v>
      </c>
      <c r="AB42" s="3">
        <f t="shared" ca="1" si="16"/>
        <v>0</v>
      </c>
      <c r="AC42" s="3">
        <f t="shared" ca="1" si="16"/>
        <v>0</v>
      </c>
      <c r="AD42" s="3">
        <f t="shared" ca="1" si="16"/>
        <v>0</v>
      </c>
      <c r="AE42" s="3">
        <f t="shared" ca="1" si="16"/>
        <v>0</v>
      </c>
      <c r="AF42" s="3">
        <f t="shared" ca="1" si="16"/>
        <v>0</v>
      </c>
      <c r="AG42" s="3">
        <f t="shared" ca="1" si="16"/>
        <v>0</v>
      </c>
      <c r="AH42" s="3">
        <f t="shared" ca="1" si="16"/>
        <v>0</v>
      </c>
      <c r="AI42" s="3">
        <f t="shared" ca="1" si="16"/>
        <v>0</v>
      </c>
      <c r="AJ42" s="3">
        <f t="shared" ca="1" si="16"/>
        <v>0</v>
      </c>
      <c r="AK42" s="3">
        <f t="shared" ca="1" si="16"/>
        <v>0</v>
      </c>
      <c r="AL42" s="3">
        <f t="shared" ca="1" si="16"/>
        <v>0</v>
      </c>
      <c r="AM42" s="3">
        <f t="shared" ca="1" si="16"/>
        <v>0</v>
      </c>
      <c r="AN42" s="3">
        <f t="shared" ca="1" si="16"/>
        <v>0</v>
      </c>
      <c r="AO42" s="3">
        <f t="shared" ca="1" si="16"/>
        <v>0</v>
      </c>
      <c r="AP42" s="3">
        <f t="shared" ca="1" si="16"/>
        <v>0</v>
      </c>
      <c r="AQ42" s="3">
        <f t="shared" ca="1" si="16"/>
        <v>0</v>
      </c>
      <c r="AR42" s="3">
        <f t="shared" ca="1" si="16"/>
        <v>0</v>
      </c>
      <c r="AS42" s="3">
        <f t="shared" ca="1" si="16"/>
        <v>0</v>
      </c>
      <c r="AT42" s="3">
        <f t="shared" ca="1" si="16"/>
        <v>0</v>
      </c>
      <c r="AU42" s="3">
        <f t="shared" ca="1" si="16"/>
        <v>0</v>
      </c>
      <c r="AV42" s="3">
        <f t="shared" ca="1" si="16"/>
        <v>0</v>
      </c>
      <c r="AW42" s="3">
        <f t="shared" ca="1" si="16"/>
        <v>0</v>
      </c>
      <c r="AX42" s="3">
        <f t="shared" ca="1" si="16"/>
        <v>0</v>
      </c>
      <c r="AY42" s="3">
        <f t="shared" ca="1" si="16"/>
        <v>0</v>
      </c>
      <c r="AZ42" s="3">
        <f t="shared" ca="1" si="16"/>
        <v>0</v>
      </c>
      <c r="BA42" s="3">
        <f t="shared" ca="1" si="16"/>
        <v>0</v>
      </c>
      <c r="BB42" s="3">
        <f t="shared" ca="1" si="16"/>
        <v>0</v>
      </c>
      <c r="BC42" s="3">
        <f t="shared" ca="1" si="16"/>
        <v>0</v>
      </c>
      <c r="BD42" s="3">
        <f t="shared" ca="1" si="16"/>
        <v>0</v>
      </c>
      <c r="BE42" s="3">
        <f t="shared" ca="1" si="16"/>
        <v>0</v>
      </c>
      <c r="BF42" s="3">
        <f t="shared" ca="1" si="16"/>
        <v>0</v>
      </c>
      <c r="BG42" s="3">
        <f t="shared" ca="1" si="16"/>
        <v>0</v>
      </c>
      <c r="BH42" s="3">
        <f t="shared" ca="1" si="16"/>
        <v>0</v>
      </c>
      <c r="BI42" s="3">
        <f t="shared" ca="1" si="16"/>
        <v>0</v>
      </c>
      <c r="BJ42" s="3">
        <f t="shared" ca="1" si="16"/>
        <v>0</v>
      </c>
      <c r="BK42" s="3">
        <f t="shared" ca="1" si="16"/>
        <v>0</v>
      </c>
      <c r="BL42" s="3">
        <f t="shared" ca="1" si="16"/>
        <v>0</v>
      </c>
      <c r="BM42" s="3">
        <f t="shared" ca="1" si="16"/>
        <v>0</v>
      </c>
      <c r="BN42" s="3">
        <f t="shared" ca="1" si="16"/>
        <v>0</v>
      </c>
      <c r="BO42" s="3">
        <f t="shared" ca="1" si="16"/>
        <v>0</v>
      </c>
      <c r="BP42" s="3">
        <f t="shared" ca="1" si="16"/>
        <v>0</v>
      </c>
      <c r="BQ42" s="3">
        <f t="shared" ca="1" si="16"/>
        <v>0</v>
      </c>
    </row>
    <row r="45" spans="1:69">
      <c r="B45" s="25" t="s">
        <v>201</v>
      </c>
    </row>
    <row r="46" spans="1:69" outlineLevel="1">
      <c r="E46" s="2" t="str">
        <f t="shared" ref="E46:BQ46" si="17" xml:space="preserve">  E$41</f>
        <v>Supply Chain Finance interest POS</v>
      </c>
      <c r="F46" s="2">
        <f t="shared" si="17"/>
        <v>0</v>
      </c>
      <c r="G46" s="2" t="str">
        <f t="shared" si="17"/>
        <v>GBP</v>
      </c>
      <c r="H46" s="2">
        <f t="shared" ca="1" si="17"/>
        <v>0</v>
      </c>
      <c r="I46" s="2">
        <f t="shared" si="17"/>
        <v>0</v>
      </c>
      <c r="J46" s="2">
        <f t="shared" si="17"/>
        <v>0</v>
      </c>
      <c r="K46" s="2">
        <f t="shared" ca="1" si="17"/>
        <v>0</v>
      </c>
      <c r="L46" s="2">
        <f t="shared" ca="1" si="17"/>
        <v>0</v>
      </c>
      <c r="M46" s="2">
        <f t="shared" ca="1" si="17"/>
        <v>0</v>
      </c>
      <c r="N46" s="2">
        <f t="shared" ca="1" si="17"/>
        <v>0</v>
      </c>
      <c r="O46" s="2">
        <f t="shared" ca="1" si="17"/>
        <v>0</v>
      </c>
      <c r="P46" s="2">
        <f t="shared" ca="1" si="17"/>
        <v>0</v>
      </c>
      <c r="Q46" s="2">
        <f t="shared" ca="1" si="17"/>
        <v>0</v>
      </c>
      <c r="R46" s="2">
        <f t="shared" ca="1" si="17"/>
        <v>0</v>
      </c>
      <c r="S46" s="2">
        <f t="shared" ca="1" si="17"/>
        <v>0</v>
      </c>
      <c r="T46" s="2">
        <f t="shared" ca="1" si="17"/>
        <v>0</v>
      </c>
      <c r="U46" s="2">
        <f t="shared" ca="1" si="17"/>
        <v>0</v>
      </c>
      <c r="V46" s="2">
        <f t="shared" ca="1" si="17"/>
        <v>0</v>
      </c>
      <c r="W46" s="2">
        <f t="shared" ca="1" si="17"/>
        <v>0</v>
      </c>
      <c r="X46" s="2">
        <f t="shared" ca="1" si="17"/>
        <v>0</v>
      </c>
      <c r="Y46" s="2">
        <f t="shared" ca="1" si="17"/>
        <v>0</v>
      </c>
      <c r="Z46" s="2">
        <f t="shared" ca="1" si="17"/>
        <v>0</v>
      </c>
      <c r="AA46" s="2">
        <f t="shared" ca="1" si="17"/>
        <v>0</v>
      </c>
      <c r="AB46" s="2">
        <f t="shared" ca="1" si="17"/>
        <v>0</v>
      </c>
      <c r="AC46" s="2">
        <f t="shared" ca="1" si="17"/>
        <v>0</v>
      </c>
      <c r="AD46" s="2">
        <f t="shared" ca="1" si="17"/>
        <v>0</v>
      </c>
      <c r="AE46" s="2">
        <f t="shared" ca="1" si="17"/>
        <v>0</v>
      </c>
      <c r="AF46" s="2">
        <f t="shared" ca="1" si="17"/>
        <v>0</v>
      </c>
      <c r="AG46" s="2">
        <f t="shared" ca="1" si="17"/>
        <v>0</v>
      </c>
      <c r="AH46" s="2">
        <f t="shared" ca="1" si="17"/>
        <v>0</v>
      </c>
      <c r="AI46" s="2">
        <f t="shared" ca="1" si="17"/>
        <v>0</v>
      </c>
      <c r="AJ46" s="2">
        <f t="shared" ca="1" si="17"/>
        <v>0</v>
      </c>
      <c r="AK46" s="2">
        <f t="shared" ca="1" si="17"/>
        <v>0</v>
      </c>
      <c r="AL46" s="2">
        <f t="shared" ca="1" si="17"/>
        <v>0</v>
      </c>
      <c r="AM46" s="2">
        <f t="shared" ca="1" si="17"/>
        <v>0</v>
      </c>
      <c r="AN46" s="2">
        <f t="shared" ca="1" si="17"/>
        <v>0</v>
      </c>
      <c r="AO46" s="2">
        <f t="shared" ca="1" si="17"/>
        <v>0</v>
      </c>
      <c r="AP46" s="2">
        <f t="shared" ca="1" si="17"/>
        <v>0</v>
      </c>
      <c r="AQ46" s="2">
        <f t="shared" ca="1" si="17"/>
        <v>0</v>
      </c>
      <c r="AR46" s="2">
        <f t="shared" ca="1" si="17"/>
        <v>0</v>
      </c>
      <c r="AS46" s="2">
        <f t="shared" ca="1" si="17"/>
        <v>0</v>
      </c>
      <c r="AT46" s="2">
        <f t="shared" ca="1" si="17"/>
        <v>0</v>
      </c>
      <c r="AU46" s="2">
        <f t="shared" ca="1" si="17"/>
        <v>0</v>
      </c>
      <c r="AV46" s="2">
        <f t="shared" ca="1" si="17"/>
        <v>0</v>
      </c>
      <c r="AW46" s="2">
        <f t="shared" ca="1" si="17"/>
        <v>0</v>
      </c>
      <c r="AX46" s="2">
        <f t="shared" ca="1" si="17"/>
        <v>0</v>
      </c>
      <c r="AY46" s="2">
        <f t="shared" ca="1" si="17"/>
        <v>0</v>
      </c>
      <c r="AZ46" s="2">
        <f t="shared" ca="1" si="17"/>
        <v>0</v>
      </c>
      <c r="BA46" s="2">
        <f t="shared" ca="1" si="17"/>
        <v>0</v>
      </c>
      <c r="BB46" s="2">
        <f t="shared" ca="1" si="17"/>
        <v>0</v>
      </c>
      <c r="BC46" s="2">
        <f t="shared" ca="1" si="17"/>
        <v>0</v>
      </c>
      <c r="BD46" s="2">
        <f t="shared" ca="1" si="17"/>
        <v>0</v>
      </c>
      <c r="BE46" s="2">
        <f t="shared" ca="1" si="17"/>
        <v>0</v>
      </c>
      <c r="BF46" s="2">
        <f t="shared" ca="1" si="17"/>
        <v>0</v>
      </c>
      <c r="BG46" s="2">
        <f t="shared" ca="1" si="17"/>
        <v>0</v>
      </c>
      <c r="BH46" s="2">
        <f t="shared" ca="1" si="17"/>
        <v>0</v>
      </c>
      <c r="BI46" s="2">
        <f t="shared" ca="1" si="17"/>
        <v>0</v>
      </c>
      <c r="BJ46" s="2">
        <f t="shared" ca="1" si="17"/>
        <v>0</v>
      </c>
      <c r="BK46" s="2">
        <f t="shared" ca="1" si="17"/>
        <v>0</v>
      </c>
      <c r="BL46" s="2">
        <f t="shared" ca="1" si="17"/>
        <v>0</v>
      </c>
      <c r="BM46" s="2">
        <f t="shared" ca="1" si="17"/>
        <v>0</v>
      </c>
      <c r="BN46" s="2">
        <f t="shared" ca="1" si="17"/>
        <v>0</v>
      </c>
      <c r="BO46" s="2">
        <f t="shared" ca="1" si="17"/>
        <v>0</v>
      </c>
      <c r="BP46" s="2">
        <f t="shared" ca="1" si="17"/>
        <v>0</v>
      </c>
      <c r="BQ46" s="2">
        <f t="shared" ca="1" si="17"/>
        <v>0</v>
      </c>
    </row>
    <row r="47" spans="1:69" outlineLevel="1">
      <c r="E47" s="47" t="s">
        <v>287</v>
      </c>
      <c r="G47" s="47" t="s">
        <v>257</v>
      </c>
      <c r="H47" s="2">
        <f t="shared" ref="H47:H48" ca="1" si="18" xml:space="preserve"> SUM( J47:BQ47 )</f>
        <v>0</v>
      </c>
      <c r="J47" s="2">
        <f t="shared" ref="J47:BQ47" si="19" xml:space="preserve">  J46</f>
        <v>0</v>
      </c>
      <c r="K47" s="2">
        <f t="shared" ca="1" si="19"/>
        <v>0</v>
      </c>
      <c r="L47" s="2">
        <f t="shared" ca="1" si="19"/>
        <v>0</v>
      </c>
      <c r="M47" s="2">
        <f t="shared" ca="1" si="19"/>
        <v>0</v>
      </c>
      <c r="N47" s="2">
        <f t="shared" ca="1" si="19"/>
        <v>0</v>
      </c>
      <c r="O47" s="2">
        <f t="shared" ca="1" si="19"/>
        <v>0</v>
      </c>
      <c r="P47" s="2">
        <f t="shared" ca="1" si="19"/>
        <v>0</v>
      </c>
      <c r="Q47" s="2">
        <f t="shared" ca="1" si="19"/>
        <v>0</v>
      </c>
      <c r="R47" s="2">
        <f t="shared" ca="1" si="19"/>
        <v>0</v>
      </c>
      <c r="S47" s="2">
        <f t="shared" ca="1" si="19"/>
        <v>0</v>
      </c>
      <c r="T47" s="2">
        <f t="shared" ca="1" si="19"/>
        <v>0</v>
      </c>
      <c r="U47" s="2">
        <f t="shared" ca="1" si="19"/>
        <v>0</v>
      </c>
      <c r="V47" s="2">
        <f t="shared" ca="1" si="19"/>
        <v>0</v>
      </c>
      <c r="W47" s="2">
        <f t="shared" ca="1" si="19"/>
        <v>0</v>
      </c>
      <c r="X47" s="2">
        <f t="shared" ca="1" si="19"/>
        <v>0</v>
      </c>
      <c r="Y47" s="2">
        <f t="shared" ca="1" si="19"/>
        <v>0</v>
      </c>
      <c r="Z47" s="2">
        <f t="shared" ca="1" si="19"/>
        <v>0</v>
      </c>
      <c r="AA47" s="2">
        <f t="shared" ca="1" si="19"/>
        <v>0</v>
      </c>
      <c r="AB47" s="2">
        <f t="shared" ca="1" si="19"/>
        <v>0</v>
      </c>
      <c r="AC47" s="2">
        <f t="shared" ca="1" si="19"/>
        <v>0</v>
      </c>
      <c r="AD47" s="2">
        <f t="shared" ca="1" si="19"/>
        <v>0</v>
      </c>
      <c r="AE47" s="2">
        <f t="shared" ca="1" si="19"/>
        <v>0</v>
      </c>
      <c r="AF47" s="2">
        <f t="shared" ca="1" si="19"/>
        <v>0</v>
      </c>
      <c r="AG47" s="2">
        <f t="shared" ca="1" si="19"/>
        <v>0</v>
      </c>
      <c r="AH47" s="2">
        <f t="shared" ca="1" si="19"/>
        <v>0</v>
      </c>
      <c r="AI47" s="2">
        <f t="shared" ca="1" si="19"/>
        <v>0</v>
      </c>
      <c r="AJ47" s="2">
        <f t="shared" ca="1" si="19"/>
        <v>0</v>
      </c>
      <c r="AK47" s="2">
        <f t="shared" ca="1" si="19"/>
        <v>0</v>
      </c>
      <c r="AL47" s="2">
        <f t="shared" ca="1" si="19"/>
        <v>0</v>
      </c>
      <c r="AM47" s="2">
        <f t="shared" ca="1" si="19"/>
        <v>0</v>
      </c>
      <c r="AN47" s="2">
        <f t="shared" ca="1" si="19"/>
        <v>0</v>
      </c>
      <c r="AO47" s="2">
        <f t="shared" ca="1" si="19"/>
        <v>0</v>
      </c>
      <c r="AP47" s="2">
        <f t="shared" ca="1" si="19"/>
        <v>0</v>
      </c>
      <c r="AQ47" s="2">
        <f t="shared" ca="1" si="19"/>
        <v>0</v>
      </c>
      <c r="AR47" s="2">
        <f t="shared" ca="1" si="19"/>
        <v>0</v>
      </c>
      <c r="AS47" s="2">
        <f t="shared" ca="1" si="19"/>
        <v>0</v>
      </c>
      <c r="AT47" s="2">
        <f t="shared" ca="1" si="19"/>
        <v>0</v>
      </c>
      <c r="AU47" s="2">
        <f t="shared" ca="1" si="19"/>
        <v>0</v>
      </c>
      <c r="AV47" s="2">
        <f t="shared" ca="1" si="19"/>
        <v>0</v>
      </c>
      <c r="AW47" s="2">
        <f t="shared" ca="1" si="19"/>
        <v>0</v>
      </c>
      <c r="AX47" s="2">
        <f t="shared" ca="1" si="19"/>
        <v>0</v>
      </c>
      <c r="AY47" s="2">
        <f t="shared" ca="1" si="19"/>
        <v>0</v>
      </c>
      <c r="AZ47" s="2">
        <f t="shared" ca="1" si="19"/>
        <v>0</v>
      </c>
      <c r="BA47" s="2">
        <f t="shared" ca="1" si="19"/>
        <v>0</v>
      </c>
      <c r="BB47" s="2">
        <f t="shared" ca="1" si="19"/>
        <v>0</v>
      </c>
      <c r="BC47" s="2">
        <f t="shared" ca="1" si="19"/>
        <v>0</v>
      </c>
      <c r="BD47" s="2">
        <f t="shared" ca="1" si="19"/>
        <v>0</v>
      </c>
      <c r="BE47" s="2">
        <f t="shared" ca="1" si="19"/>
        <v>0</v>
      </c>
      <c r="BF47" s="2">
        <f t="shared" ca="1" si="19"/>
        <v>0</v>
      </c>
      <c r="BG47" s="2">
        <f t="shared" ca="1" si="19"/>
        <v>0</v>
      </c>
      <c r="BH47" s="2">
        <f t="shared" ca="1" si="19"/>
        <v>0</v>
      </c>
      <c r="BI47" s="2">
        <f t="shared" ca="1" si="19"/>
        <v>0</v>
      </c>
      <c r="BJ47" s="2">
        <f t="shared" ca="1" si="19"/>
        <v>0</v>
      </c>
      <c r="BK47" s="2">
        <f t="shared" ca="1" si="19"/>
        <v>0</v>
      </c>
      <c r="BL47" s="2">
        <f t="shared" ca="1" si="19"/>
        <v>0</v>
      </c>
      <c r="BM47" s="2">
        <f t="shared" ca="1" si="19"/>
        <v>0</v>
      </c>
      <c r="BN47" s="2">
        <f t="shared" ca="1" si="19"/>
        <v>0</v>
      </c>
      <c r="BO47" s="2">
        <f t="shared" ca="1" si="19"/>
        <v>0</v>
      </c>
      <c r="BP47" s="2">
        <f t="shared" ca="1" si="19"/>
        <v>0</v>
      </c>
      <c r="BQ47" s="2">
        <f t="shared" ca="1" si="19"/>
        <v>0</v>
      </c>
    </row>
    <row r="48" spans="1:69" outlineLevel="1">
      <c r="A48" s="34"/>
      <c r="B48" s="34"/>
      <c r="C48" s="64"/>
      <c r="D48" s="65"/>
      <c r="E48" s="21" t="str">
        <f xml:space="preserve"> LEFT($E$47, LEN($E$47) - 3 )</f>
        <v xml:space="preserve">Supply Chain Finance interest paid </v>
      </c>
      <c r="F48" s="21"/>
      <c r="G48" s="21" t="str">
        <f xml:space="preserve"> G$47</f>
        <v>GBP</v>
      </c>
      <c r="H48" s="3">
        <f t="shared" ca="1" si="18"/>
        <v>0</v>
      </c>
      <c r="I48" s="21"/>
      <c r="J48" s="3">
        <f t="shared" ref="J48:BQ48" si="20" xml:space="preserve"> -1 * J47</f>
        <v>0</v>
      </c>
      <c r="K48" s="3">
        <f t="shared" ca="1" si="20"/>
        <v>0</v>
      </c>
      <c r="L48" s="3">
        <f t="shared" ca="1" si="20"/>
        <v>0</v>
      </c>
      <c r="M48" s="3">
        <f t="shared" ca="1" si="20"/>
        <v>0</v>
      </c>
      <c r="N48" s="3">
        <f t="shared" ca="1" si="20"/>
        <v>0</v>
      </c>
      <c r="O48" s="3">
        <f t="shared" ca="1" si="20"/>
        <v>0</v>
      </c>
      <c r="P48" s="3">
        <f t="shared" ca="1" si="20"/>
        <v>0</v>
      </c>
      <c r="Q48" s="3">
        <f t="shared" ca="1" si="20"/>
        <v>0</v>
      </c>
      <c r="R48" s="3">
        <f t="shared" ca="1" si="20"/>
        <v>0</v>
      </c>
      <c r="S48" s="3">
        <f t="shared" ca="1" si="20"/>
        <v>0</v>
      </c>
      <c r="T48" s="3">
        <f t="shared" ca="1" si="20"/>
        <v>0</v>
      </c>
      <c r="U48" s="3">
        <f t="shared" ca="1" si="20"/>
        <v>0</v>
      </c>
      <c r="V48" s="3">
        <f t="shared" ca="1" si="20"/>
        <v>0</v>
      </c>
      <c r="W48" s="3">
        <f t="shared" ca="1" si="20"/>
        <v>0</v>
      </c>
      <c r="X48" s="3">
        <f t="shared" ca="1" si="20"/>
        <v>0</v>
      </c>
      <c r="Y48" s="3">
        <f t="shared" ca="1" si="20"/>
        <v>0</v>
      </c>
      <c r="Z48" s="3">
        <f t="shared" ca="1" si="20"/>
        <v>0</v>
      </c>
      <c r="AA48" s="3">
        <f t="shared" ca="1" si="20"/>
        <v>0</v>
      </c>
      <c r="AB48" s="3">
        <f t="shared" ca="1" si="20"/>
        <v>0</v>
      </c>
      <c r="AC48" s="3">
        <f t="shared" ca="1" si="20"/>
        <v>0</v>
      </c>
      <c r="AD48" s="3">
        <f t="shared" ca="1" si="20"/>
        <v>0</v>
      </c>
      <c r="AE48" s="3">
        <f t="shared" ca="1" si="20"/>
        <v>0</v>
      </c>
      <c r="AF48" s="3">
        <f t="shared" ca="1" si="20"/>
        <v>0</v>
      </c>
      <c r="AG48" s="3">
        <f t="shared" ca="1" si="20"/>
        <v>0</v>
      </c>
      <c r="AH48" s="3">
        <f t="shared" ca="1" si="20"/>
        <v>0</v>
      </c>
      <c r="AI48" s="3">
        <f t="shared" ca="1" si="20"/>
        <v>0</v>
      </c>
      <c r="AJ48" s="3">
        <f t="shared" ca="1" si="20"/>
        <v>0</v>
      </c>
      <c r="AK48" s="3">
        <f t="shared" ca="1" si="20"/>
        <v>0</v>
      </c>
      <c r="AL48" s="3">
        <f t="shared" ca="1" si="20"/>
        <v>0</v>
      </c>
      <c r="AM48" s="3">
        <f t="shared" ca="1" si="20"/>
        <v>0</v>
      </c>
      <c r="AN48" s="3">
        <f t="shared" ca="1" si="20"/>
        <v>0</v>
      </c>
      <c r="AO48" s="3">
        <f t="shared" ca="1" si="20"/>
        <v>0</v>
      </c>
      <c r="AP48" s="3">
        <f t="shared" ca="1" si="20"/>
        <v>0</v>
      </c>
      <c r="AQ48" s="3">
        <f t="shared" ca="1" si="20"/>
        <v>0</v>
      </c>
      <c r="AR48" s="3">
        <f t="shared" ca="1" si="20"/>
        <v>0</v>
      </c>
      <c r="AS48" s="3">
        <f t="shared" ca="1" si="20"/>
        <v>0</v>
      </c>
      <c r="AT48" s="3">
        <f t="shared" ca="1" si="20"/>
        <v>0</v>
      </c>
      <c r="AU48" s="3">
        <f t="shared" ca="1" si="20"/>
        <v>0</v>
      </c>
      <c r="AV48" s="3">
        <f t="shared" ca="1" si="20"/>
        <v>0</v>
      </c>
      <c r="AW48" s="3">
        <f t="shared" ca="1" si="20"/>
        <v>0</v>
      </c>
      <c r="AX48" s="3">
        <f t="shared" ca="1" si="20"/>
        <v>0</v>
      </c>
      <c r="AY48" s="3">
        <f t="shared" ca="1" si="20"/>
        <v>0</v>
      </c>
      <c r="AZ48" s="3">
        <f t="shared" ca="1" si="20"/>
        <v>0</v>
      </c>
      <c r="BA48" s="3">
        <f t="shared" ca="1" si="20"/>
        <v>0</v>
      </c>
      <c r="BB48" s="3">
        <f t="shared" ca="1" si="20"/>
        <v>0</v>
      </c>
      <c r="BC48" s="3">
        <f t="shared" ca="1" si="20"/>
        <v>0</v>
      </c>
      <c r="BD48" s="3">
        <f t="shared" ca="1" si="20"/>
        <v>0</v>
      </c>
      <c r="BE48" s="3">
        <f t="shared" ca="1" si="20"/>
        <v>0</v>
      </c>
      <c r="BF48" s="3">
        <f t="shared" ca="1" si="20"/>
        <v>0</v>
      </c>
      <c r="BG48" s="3">
        <f t="shared" ca="1" si="20"/>
        <v>0</v>
      </c>
      <c r="BH48" s="3">
        <f t="shared" ca="1" si="20"/>
        <v>0</v>
      </c>
      <c r="BI48" s="3">
        <f t="shared" ca="1" si="20"/>
        <v>0</v>
      </c>
      <c r="BJ48" s="3">
        <f t="shared" ca="1" si="20"/>
        <v>0</v>
      </c>
      <c r="BK48" s="3">
        <f t="shared" ca="1" si="20"/>
        <v>0</v>
      </c>
      <c r="BL48" s="3">
        <f t="shared" ca="1" si="20"/>
        <v>0</v>
      </c>
      <c r="BM48" s="3">
        <f t="shared" ca="1" si="20"/>
        <v>0</v>
      </c>
      <c r="BN48" s="3">
        <f t="shared" ca="1" si="20"/>
        <v>0</v>
      </c>
      <c r="BO48" s="3">
        <f t="shared" ca="1" si="20"/>
        <v>0</v>
      </c>
      <c r="BP48" s="3">
        <f t="shared" ca="1" si="20"/>
        <v>0</v>
      </c>
      <c r="BQ48" s="3">
        <f t="shared" ca="1" si="20"/>
        <v>0</v>
      </c>
    </row>
    <row r="51" spans="1:13">
      <c r="B51" s="25" t="s">
        <v>224</v>
      </c>
    </row>
    <row r="52" spans="1:13" outlineLevel="1">
      <c r="A52" s="18"/>
      <c r="B52" s="18"/>
      <c r="C52" s="28"/>
      <c r="D52" s="27"/>
      <c r="E52" s="43" t="str">
        <f xml:space="preserve">  InpC!E$71</f>
        <v>All in Supply Chain Finance annual interest rate</v>
      </c>
      <c r="F52" s="43">
        <f xml:space="preserve">  InpC!F$71</f>
        <v>0.08</v>
      </c>
      <c r="G52" s="43" t="str">
        <f xml:space="preserve">  InpC!G$71</f>
        <v>%</v>
      </c>
      <c r="M52" s="57"/>
    </row>
    <row r="53" spans="1:13" outlineLevel="1">
      <c r="A53" s="18"/>
      <c r="B53" s="18"/>
      <c r="C53" s="28"/>
      <c r="D53" s="27"/>
      <c r="E53" s="4" t="str">
        <f xml:space="preserve">  InpC!E$58</f>
        <v>debt day count convention</v>
      </c>
      <c r="F53" s="4">
        <f xml:space="preserve">  InpC!F$58</f>
        <v>360</v>
      </c>
      <c r="G53" s="4" t="str">
        <f xml:space="preserve">  InpC!G$58</f>
        <v>day</v>
      </c>
      <c r="M53" s="2"/>
    </row>
    <row r="54" spans="1:13" outlineLevel="1">
      <c r="A54" s="18"/>
      <c r="B54" s="18"/>
      <c r="C54" s="28"/>
      <c r="D54" s="27"/>
      <c r="E54" s="4" t="str">
        <f xml:space="preserve">  InpC!E$57</f>
        <v>Days in period</v>
      </c>
      <c r="F54" s="4">
        <f xml:space="preserve">  InpC!F$57</f>
        <v>30</v>
      </c>
      <c r="G54" s="4" t="str">
        <f xml:space="preserve">  InpC!G$57</f>
        <v>day</v>
      </c>
      <c r="M54" s="2"/>
    </row>
    <row r="55" spans="1:13" outlineLevel="1">
      <c r="E55" s="47" t="s">
        <v>224</v>
      </c>
      <c r="F55" s="57">
        <f xml:space="preserve">  $F52 / $F53 * $F54</f>
        <v>6.6666666666666671E-3</v>
      </c>
      <c r="G55" s="47" t="s">
        <v>209</v>
      </c>
      <c r="M55" s="57"/>
    </row>
    <row r="58" spans="1:13">
      <c r="B58" s="25" t="s">
        <v>271</v>
      </c>
    </row>
  </sheetData>
  <conditionalFormatting sqref="F2:F3">
    <cfRule type="cellIs" dxfId="189" priority="1" stopIfTrue="1" operator="notEqual">
      <formula>0</formula>
    </cfRule>
    <cfRule type="cellIs" dxfId="188" priority="2" stopIfTrue="1" operator="equal">
      <formula>""</formula>
    </cfRule>
  </conditionalFormatting>
  <conditionalFormatting sqref="J3:BQ3">
    <cfRule type="cellIs" dxfId="187" priority="8" operator="equal">
      <formula>"PPA ext."</formula>
    </cfRule>
    <cfRule type="cellIs" dxfId="186" priority="9" operator="equal">
      <formula>"Delay"</formula>
    </cfRule>
    <cfRule type="cellIs" dxfId="185" priority="10" operator="equal">
      <formula>"Fin Close"</formula>
    </cfRule>
    <cfRule type="cellIs" dxfId="184" priority="11" stopIfTrue="1" operator="equal">
      <formula>"Construction"</formula>
    </cfRule>
    <cfRule type="cellIs" dxfId="18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2.109375" style="47" bestFit="1" customWidth="1"/>
    <col min="6" max="6" width="20.5546875" style="47" bestFit="1" customWidth="1"/>
    <col min="7" max="7" width="13.21875" style="47" bestFit="1" customWidth="1"/>
    <col min="8" max="8" width="11.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Asset Finance</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134</v>
      </c>
    </row>
    <row r="9" spans="1:69" s="80" customFormat="1">
      <c r="A9" s="60"/>
      <c r="B9" s="60"/>
      <c r="C9" s="82"/>
      <c r="D9" s="85"/>
      <c r="E9" s="40" t="str">
        <f xml:space="preserve">  InpC!E$80</f>
        <v>Opening Asset Finance balance</v>
      </c>
      <c r="F9" s="40">
        <f xml:space="preserve">  InpC!F$80</f>
        <v>0</v>
      </c>
      <c r="G9" s="40" t="str">
        <f xml:space="preserve">  InpC!G$80</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351</v>
      </c>
      <c r="G11" s="47" t="s">
        <v>257</v>
      </c>
      <c r="J11" s="2">
        <f t="shared" ref="J11:BQ11" si="0" xml:space="preserve">  I15</f>
        <v>0</v>
      </c>
      <c r="K11" s="2">
        <f t="shared" ca="1" si="0"/>
        <v>0</v>
      </c>
      <c r="L11" s="2">
        <f t="shared" ca="1" si="0"/>
        <v>0</v>
      </c>
      <c r="M11" s="2">
        <f t="shared" ca="1" si="0"/>
        <v>0</v>
      </c>
      <c r="N11" s="2">
        <f t="shared" ca="1" si="0"/>
        <v>0</v>
      </c>
      <c r="O11" s="2">
        <f t="shared" ca="1" si="0"/>
        <v>0</v>
      </c>
      <c r="P11" s="2">
        <f t="shared" ca="1" si="0"/>
        <v>0</v>
      </c>
      <c r="Q11" s="2">
        <f t="shared" ca="1" si="0"/>
        <v>0</v>
      </c>
      <c r="R11" s="2">
        <f t="shared" ca="1" si="0"/>
        <v>0</v>
      </c>
      <c r="S11" s="2">
        <f t="shared" ca="1" si="0"/>
        <v>0</v>
      </c>
      <c r="T11" s="2">
        <f t="shared" ca="1" si="0"/>
        <v>0</v>
      </c>
      <c r="U11" s="2">
        <f t="shared" ca="1" si="0"/>
        <v>0</v>
      </c>
      <c r="V11" s="2">
        <f t="shared" ca="1" si="0"/>
        <v>0</v>
      </c>
      <c r="W11" s="2">
        <f t="shared" ca="1" si="0"/>
        <v>0</v>
      </c>
      <c r="X11" s="2">
        <f t="shared" ca="1" si="0"/>
        <v>0</v>
      </c>
      <c r="Y11" s="2">
        <f t="shared" ca="1" si="0"/>
        <v>0</v>
      </c>
      <c r="Z11" s="2">
        <f t="shared" ca="1" si="0"/>
        <v>0</v>
      </c>
      <c r="AA11" s="2">
        <f t="shared" ca="1" si="0"/>
        <v>0</v>
      </c>
      <c r="AB11" s="2">
        <f t="shared" ca="1" si="0"/>
        <v>0</v>
      </c>
      <c r="AC11" s="2">
        <f t="shared" ca="1" si="0"/>
        <v>0</v>
      </c>
      <c r="AD11" s="2">
        <f t="shared" ca="1" si="0"/>
        <v>0</v>
      </c>
      <c r="AE11" s="2">
        <f t="shared" ca="1" si="0"/>
        <v>0</v>
      </c>
      <c r="AF11" s="2">
        <f t="shared" ca="1" si="0"/>
        <v>0</v>
      </c>
      <c r="AG11" s="2">
        <f t="shared" ca="1" si="0"/>
        <v>0</v>
      </c>
      <c r="AH11" s="2">
        <f t="shared" ca="1" si="0"/>
        <v>0</v>
      </c>
      <c r="AI11" s="2">
        <f t="shared" ca="1" si="0"/>
        <v>0</v>
      </c>
      <c r="AJ11" s="2">
        <f t="shared" ca="1" si="0"/>
        <v>0</v>
      </c>
      <c r="AK11" s="2">
        <f t="shared" ca="1" si="0"/>
        <v>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4" t="s">
        <v>220</v>
      </c>
      <c r="E12" s="2" t="str">
        <f t="shared" ref="E12:BQ12" si="1" xml:space="preserve">  E$22</f>
        <v>Asset Finance drawdown</v>
      </c>
      <c r="F12" s="2">
        <f t="shared" si="1"/>
        <v>0</v>
      </c>
      <c r="G12" s="2" t="str">
        <f t="shared" si="1"/>
        <v>GBP</v>
      </c>
      <c r="H12" s="2">
        <f t="shared" ca="1" si="1"/>
        <v>0</v>
      </c>
      <c r="I12" s="2">
        <f t="shared" si="1"/>
        <v>0</v>
      </c>
      <c r="J12" s="2">
        <f t="shared" ca="1" si="1"/>
        <v>0</v>
      </c>
      <c r="K12" s="2">
        <f t="shared" ca="1" si="1"/>
        <v>0</v>
      </c>
      <c r="L12" s="2">
        <f t="shared" ca="1" si="1"/>
        <v>0</v>
      </c>
      <c r="M12" s="2">
        <f t="shared" ca="1" si="1"/>
        <v>0</v>
      </c>
      <c r="N12" s="2">
        <f t="shared" ca="1" si="1"/>
        <v>0</v>
      </c>
      <c r="O12" s="2">
        <f t="shared" ca="1" si="1"/>
        <v>0</v>
      </c>
      <c r="P12" s="2">
        <f t="shared" ca="1" si="1"/>
        <v>0</v>
      </c>
      <c r="Q12" s="2">
        <f t="shared" ca="1" si="1"/>
        <v>0</v>
      </c>
      <c r="R12" s="2">
        <f t="shared" ca="1" si="1"/>
        <v>0</v>
      </c>
      <c r="S12" s="2">
        <f t="shared" ca="1" si="1"/>
        <v>0</v>
      </c>
      <c r="T12" s="2">
        <f t="shared" ca="1" si="1"/>
        <v>0</v>
      </c>
      <c r="U12" s="2">
        <f t="shared" ca="1" si="1"/>
        <v>0</v>
      </c>
      <c r="V12" s="2">
        <f t="shared" ca="1" si="1"/>
        <v>0</v>
      </c>
      <c r="W12" s="2">
        <f t="shared" ca="1" si="1"/>
        <v>0</v>
      </c>
      <c r="X12" s="2">
        <f t="shared" ca="1" si="1"/>
        <v>0</v>
      </c>
      <c r="Y12" s="2">
        <f t="shared" ca="1" si="1"/>
        <v>0</v>
      </c>
      <c r="Z12" s="2">
        <f t="shared" ca="1" si="1"/>
        <v>0</v>
      </c>
      <c r="AA12" s="2">
        <f t="shared" ca="1" si="1"/>
        <v>0</v>
      </c>
      <c r="AB12" s="2">
        <f t="shared" ca="1" si="1"/>
        <v>0</v>
      </c>
      <c r="AC12" s="2">
        <f t="shared" ca="1" si="1"/>
        <v>0</v>
      </c>
      <c r="AD12" s="2">
        <f t="shared" ca="1" si="1"/>
        <v>0</v>
      </c>
      <c r="AE12" s="2">
        <f t="shared" ca="1" si="1"/>
        <v>0</v>
      </c>
      <c r="AF12" s="2">
        <f t="shared" ca="1" si="1"/>
        <v>0</v>
      </c>
      <c r="AG12" s="2">
        <f t="shared" ca="1" si="1"/>
        <v>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4" t="s">
        <v>220</v>
      </c>
      <c r="E13" s="2" t="str">
        <f t="shared" ref="E13:BQ13" si="2" xml:space="preserve">  E$35</f>
        <v>Asset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4" t="s">
        <v>299</v>
      </c>
      <c r="E14" s="2" t="str">
        <f t="shared" ref="E14:BQ14" si="3" xml:space="preserve">  E$28</f>
        <v>Asset Finance principal repayment POS</v>
      </c>
      <c r="F14" s="2">
        <f t="shared" si="3"/>
        <v>0</v>
      </c>
      <c r="G14" s="2" t="str">
        <f t="shared" si="3"/>
        <v>GBP</v>
      </c>
      <c r="H14" s="2">
        <f t="shared" ca="1" si="3"/>
        <v>0</v>
      </c>
      <c r="I14" s="2">
        <f t="shared" si="3"/>
        <v>0</v>
      </c>
      <c r="J14" s="2">
        <f t="shared" si="3"/>
        <v>0</v>
      </c>
      <c r="K14" s="2">
        <f t="shared" ca="1" si="3"/>
        <v>0</v>
      </c>
      <c r="L14" s="2">
        <f t="shared" ca="1" si="3"/>
        <v>0</v>
      </c>
      <c r="M14" s="2">
        <f t="shared" ca="1" si="3"/>
        <v>0</v>
      </c>
      <c r="N14" s="2">
        <f t="shared" ca="1" si="3"/>
        <v>0</v>
      </c>
      <c r="O14" s="2">
        <f t="shared" ca="1" si="3"/>
        <v>0</v>
      </c>
      <c r="P14" s="2">
        <f t="shared" ca="1" si="3"/>
        <v>0</v>
      </c>
      <c r="Q14" s="2">
        <f t="shared" ca="1" si="3"/>
        <v>0</v>
      </c>
      <c r="R14" s="2">
        <f t="shared" ca="1" si="3"/>
        <v>0</v>
      </c>
      <c r="S14" s="2">
        <f t="shared" ca="1" si="3"/>
        <v>0</v>
      </c>
      <c r="T14" s="2">
        <f t="shared" ca="1" si="3"/>
        <v>0</v>
      </c>
      <c r="U14" s="2">
        <f t="shared" ca="1" si="3"/>
        <v>0</v>
      </c>
      <c r="V14" s="2">
        <f t="shared" ca="1" si="3"/>
        <v>0</v>
      </c>
      <c r="W14" s="2">
        <f t="shared" ca="1" si="3"/>
        <v>0</v>
      </c>
      <c r="X14" s="2">
        <f t="shared" ca="1" si="3"/>
        <v>0</v>
      </c>
      <c r="Y14" s="2">
        <f t="shared" ca="1" si="3"/>
        <v>0</v>
      </c>
      <c r="Z14" s="2">
        <f t="shared" ca="1" si="3"/>
        <v>0</v>
      </c>
      <c r="AA14" s="2">
        <f t="shared" ca="1" si="3"/>
        <v>0</v>
      </c>
      <c r="AB14" s="2">
        <f t="shared" ca="1" si="3"/>
        <v>0</v>
      </c>
      <c r="AC14" s="2">
        <f t="shared" ca="1" si="3"/>
        <v>0</v>
      </c>
      <c r="AD14" s="2">
        <f t="shared" ca="1" si="3"/>
        <v>0</v>
      </c>
      <c r="AE14" s="2">
        <f t="shared" ca="1" si="3"/>
        <v>0</v>
      </c>
      <c r="AF14" s="2">
        <f t="shared" ca="1" si="3"/>
        <v>0</v>
      </c>
      <c r="AG14" s="2">
        <f t="shared" ca="1" si="3"/>
        <v>0</v>
      </c>
      <c r="AH14" s="2">
        <f t="shared" ca="1" si="3"/>
        <v>0</v>
      </c>
      <c r="AI14" s="2">
        <f t="shared" ca="1" si="3"/>
        <v>0</v>
      </c>
      <c r="AJ14" s="2">
        <f t="shared" ca="1" si="3"/>
        <v>0</v>
      </c>
      <c r="AK14" s="2">
        <f t="shared" ca="1" si="3"/>
        <v>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6" customFormat="1">
      <c r="A15" s="63"/>
      <c r="B15" s="63"/>
      <c r="C15" s="89"/>
      <c r="D15" s="91"/>
      <c r="E15" s="33" t="s">
        <v>134</v>
      </c>
      <c r="F15" s="33"/>
      <c r="G15" s="33" t="s">
        <v>257</v>
      </c>
      <c r="H15" s="33"/>
      <c r="I15" s="11">
        <f t="shared" ref="I15:BQ15" si="4" xml:space="preserve">  IF( I10 = 0, $F9, I11 + I12 + I13 - I14 )</f>
        <v>0</v>
      </c>
      <c r="J15" s="11">
        <f t="shared" ca="1" si="4"/>
        <v>0</v>
      </c>
      <c r="K15" s="11">
        <f t="shared" ca="1" si="4"/>
        <v>0</v>
      </c>
      <c r="L15" s="11">
        <f t="shared" ca="1" si="4"/>
        <v>0</v>
      </c>
      <c r="M15" s="11">
        <f t="shared" ca="1" si="4"/>
        <v>0</v>
      </c>
      <c r="N15" s="11">
        <f t="shared" ca="1" si="4"/>
        <v>0</v>
      </c>
      <c r="O15" s="11">
        <f t="shared" ca="1" si="4"/>
        <v>0</v>
      </c>
      <c r="P15" s="11">
        <f t="shared" ca="1" si="4"/>
        <v>0</v>
      </c>
      <c r="Q15" s="11">
        <f t="shared" ca="1" si="4"/>
        <v>0</v>
      </c>
      <c r="R15" s="11">
        <f t="shared" ca="1" si="4"/>
        <v>0</v>
      </c>
      <c r="S15" s="11">
        <f t="shared" ca="1" si="4"/>
        <v>0</v>
      </c>
      <c r="T15" s="11">
        <f t="shared" ca="1" si="4"/>
        <v>0</v>
      </c>
      <c r="U15" s="11">
        <f t="shared" ca="1" si="4"/>
        <v>0</v>
      </c>
      <c r="V15" s="11">
        <f t="shared" ca="1" si="4"/>
        <v>0</v>
      </c>
      <c r="W15" s="11">
        <f t="shared" ca="1" si="4"/>
        <v>0</v>
      </c>
      <c r="X15" s="11">
        <f t="shared" ca="1" si="4"/>
        <v>0</v>
      </c>
      <c r="Y15" s="11">
        <f t="shared" ca="1" si="4"/>
        <v>0</v>
      </c>
      <c r="Z15" s="11">
        <f t="shared" ca="1" si="4"/>
        <v>0</v>
      </c>
      <c r="AA15" s="11">
        <f t="shared" ca="1" si="4"/>
        <v>0</v>
      </c>
      <c r="AB15" s="11">
        <f t="shared" ca="1" si="4"/>
        <v>0</v>
      </c>
      <c r="AC15" s="11">
        <f t="shared" ca="1" si="4"/>
        <v>0</v>
      </c>
      <c r="AD15" s="11">
        <f t="shared" ca="1" si="4"/>
        <v>0</v>
      </c>
      <c r="AE15" s="11">
        <f t="shared" ca="1" si="4"/>
        <v>0</v>
      </c>
      <c r="AF15" s="11">
        <f t="shared" ca="1" si="4"/>
        <v>0</v>
      </c>
      <c r="AG15" s="11">
        <f t="shared" ca="1" si="4"/>
        <v>0</v>
      </c>
      <c r="AH15" s="11">
        <f t="shared" ca="1" si="4"/>
        <v>0</v>
      </c>
      <c r="AI15" s="11">
        <f t="shared" ca="1" si="4"/>
        <v>0</v>
      </c>
      <c r="AJ15" s="11">
        <f t="shared" ca="1" si="4"/>
        <v>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15</v>
      </c>
    </row>
    <row r="18" spans="1:69" outlineLevel="1">
      <c r="A18" s="18"/>
      <c r="B18" s="18"/>
      <c r="C18" s="28"/>
      <c r="D18" s="27"/>
      <c r="E18" s="4" t="str">
        <f xml:space="preserve">  InpC!E$35</f>
        <v>Supplier price per unit</v>
      </c>
      <c r="F18" s="4">
        <f xml:space="preserve">  InpC!F$35</f>
        <v>35</v>
      </c>
      <c r="G18" s="4" t="str">
        <f xml:space="preserve">  InpC!G$35</f>
        <v>GBP</v>
      </c>
      <c r="M18" s="2"/>
    </row>
    <row r="19" spans="1:69" outlineLevel="1">
      <c r="A19" s="18"/>
      <c r="B19" s="18"/>
      <c r="C19" s="28"/>
      <c r="D19" s="27"/>
      <c r="E19" s="43" t="str">
        <f xml:space="preserve">  InpC!E$79</f>
        <v>Asset Finance Advance %</v>
      </c>
      <c r="F19" s="43">
        <f xml:space="preserve">  InpC!F$79</f>
        <v>1</v>
      </c>
      <c r="G19" s="43" t="str">
        <f xml:space="preserve">  InpC!G$79</f>
        <v>%</v>
      </c>
      <c r="M19" s="57"/>
    </row>
    <row r="20" spans="1:69" outlineLevel="1">
      <c r="A20" s="18"/>
      <c r="B20" s="18"/>
      <c r="C20" s="28"/>
      <c r="D20" s="27"/>
      <c r="E20" s="4" t="str">
        <f xml:space="preserve">  Inventory!E$41</f>
        <v>Units delivered</v>
      </c>
      <c r="F20" s="4">
        <f xml:space="preserve">  Inventory!F$41</f>
        <v>0</v>
      </c>
      <c r="G20" s="4" t="str">
        <f xml:space="preserve">  Inventory!G$41</f>
        <v>Units</v>
      </c>
      <c r="H20" s="4">
        <f ca="1" xml:space="preserve">  Inventory!H$41</f>
        <v>1140000</v>
      </c>
      <c r="I20" s="4">
        <f xml:space="preserve">  Inventory!I$41</f>
        <v>0</v>
      </c>
      <c r="J20" s="4">
        <f ca="1" xml:space="preserve">  Inventory!J$41</f>
        <v>0</v>
      </c>
      <c r="K20" s="4">
        <f ca="1" xml:space="preserve">  Inventory!K$41</f>
        <v>5000</v>
      </c>
      <c r="L20" s="4">
        <f ca="1" xml:space="preserve">  Inventory!L$41</f>
        <v>0</v>
      </c>
      <c r="M20" s="4">
        <f ca="1" xml:space="preserve">  Inventory!M$41</f>
        <v>0</v>
      </c>
      <c r="N20" s="4">
        <f ca="1" xml:space="preserve">  Inventory!N$41</f>
        <v>0</v>
      </c>
      <c r="O20" s="4">
        <f ca="1" xml:space="preserve">  Inventory!O$41</f>
        <v>10000</v>
      </c>
      <c r="P20" s="4">
        <f ca="1" xml:space="preserve">  Inventory!P$41</f>
        <v>0</v>
      </c>
      <c r="Q20" s="4">
        <f ca="1" xml:space="preserve">  Inventory!Q$41</f>
        <v>0</v>
      </c>
      <c r="R20" s="4">
        <f ca="1" xml:space="preserve">  Inventory!R$41</f>
        <v>0</v>
      </c>
      <c r="S20" s="4">
        <f ca="1" xml:space="preserve">  Inventory!S$41</f>
        <v>10000</v>
      </c>
      <c r="T20" s="4">
        <f ca="1" xml:space="preserve">  Inventory!T$41</f>
        <v>0</v>
      </c>
      <c r="U20" s="4">
        <f ca="1" xml:space="preserve">  Inventory!U$41</f>
        <v>10000</v>
      </c>
      <c r="V20" s="4">
        <f ca="1" xml:space="preserve">  Inventory!V$41</f>
        <v>10000</v>
      </c>
      <c r="W20" s="4">
        <f ca="1" xml:space="preserve">  Inventory!W$41</f>
        <v>0</v>
      </c>
      <c r="X20" s="4">
        <f ca="1" xml:space="preserve">  Inventory!X$41</f>
        <v>10000</v>
      </c>
      <c r="Y20" s="4">
        <f ca="1" xml:space="preserve">  Inventory!Y$41</f>
        <v>0</v>
      </c>
      <c r="Z20" s="4">
        <f ca="1" xml:space="preserve">  Inventory!Z$41</f>
        <v>0</v>
      </c>
      <c r="AA20" s="4">
        <f ca="1" xml:space="preserve">  Inventory!AA$41</f>
        <v>0</v>
      </c>
      <c r="AB20" s="4">
        <f ca="1" xml:space="preserve">  Inventory!AB$41</f>
        <v>0</v>
      </c>
      <c r="AC20" s="4">
        <f ca="1" xml:space="preserve">  Inventory!AC$41</f>
        <v>0</v>
      </c>
      <c r="AD20" s="4">
        <f ca="1" xml:space="preserve">  Inventory!AD$41</f>
        <v>5000</v>
      </c>
      <c r="AE20" s="4">
        <f ca="1" xml:space="preserve">  Inventory!AE$41</f>
        <v>5000</v>
      </c>
      <c r="AF20" s="4">
        <f ca="1" xml:space="preserve">  Inventory!AF$41</f>
        <v>5000</v>
      </c>
      <c r="AG20" s="4">
        <f ca="1" xml:space="preserve">  Inventory!AG$41</f>
        <v>10000</v>
      </c>
      <c r="AH20" s="4">
        <f ca="1" xml:space="preserve">  Inventory!AH$41</f>
        <v>5000</v>
      </c>
      <c r="AI20" s="4">
        <f ca="1" xml:space="preserve">  Inventory!AI$41</f>
        <v>10000</v>
      </c>
      <c r="AJ20" s="4">
        <f ca="1" xml:space="preserve">  Inventory!AJ$41</f>
        <v>5000</v>
      </c>
      <c r="AK20" s="4">
        <f ca="1" xml:space="preserve">  Inventory!AK$41</f>
        <v>10000</v>
      </c>
      <c r="AL20" s="4">
        <f ca="1" xml:space="preserve">  Inventory!AL$41</f>
        <v>10000</v>
      </c>
      <c r="AM20" s="4">
        <f ca="1" xml:space="preserve">  Inventory!AM$41</f>
        <v>10000</v>
      </c>
      <c r="AN20" s="4">
        <f ca="1" xml:space="preserve">  Inventory!AN$41</f>
        <v>10000</v>
      </c>
      <c r="AO20" s="4">
        <f ca="1" xml:space="preserve">  Inventory!AO$41</f>
        <v>15000</v>
      </c>
      <c r="AP20" s="4">
        <f ca="1" xml:space="preserve">  Inventory!AP$41</f>
        <v>10000</v>
      </c>
      <c r="AQ20" s="4">
        <f ca="1" xml:space="preserve">  Inventory!AQ$41</f>
        <v>15000</v>
      </c>
      <c r="AR20" s="4">
        <f ca="1" xml:space="preserve">  Inventory!AR$41</f>
        <v>15000</v>
      </c>
      <c r="AS20" s="4">
        <f ca="1" xml:space="preserve">  Inventory!AS$41</f>
        <v>20000</v>
      </c>
      <c r="AT20" s="4">
        <f ca="1" xml:space="preserve">  Inventory!AT$41</f>
        <v>15000</v>
      </c>
      <c r="AU20" s="4">
        <f ca="1" xml:space="preserve">  Inventory!AU$41</f>
        <v>20000</v>
      </c>
      <c r="AV20" s="4">
        <f ca="1" xml:space="preserve">  Inventory!AV$41</f>
        <v>25000</v>
      </c>
      <c r="AW20" s="4">
        <f ca="1" xml:space="preserve">  Inventory!AW$41</f>
        <v>20000</v>
      </c>
      <c r="AX20" s="4">
        <f ca="1" xml:space="preserve">  Inventory!AX$41</f>
        <v>25000</v>
      </c>
      <c r="AY20" s="4">
        <f ca="1" xml:space="preserve">  Inventory!AY$41</f>
        <v>25000</v>
      </c>
      <c r="AZ20" s="4">
        <f ca="1" xml:space="preserve">  Inventory!AZ$41</f>
        <v>25000</v>
      </c>
      <c r="BA20" s="4">
        <f ca="1" xml:space="preserve">  Inventory!BA$41</f>
        <v>25000</v>
      </c>
      <c r="BB20" s="4">
        <f ca="1" xml:space="preserve">  Inventory!BB$41</f>
        <v>30000</v>
      </c>
      <c r="BC20" s="4">
        <f ca="1" xml:space="preserve">  Inventory!BC$41</f>
        <v>30000</v>
      </c>
      <c r="BD20" s="4">
        <f ca="1" xml:space="preserve">  Inventory!BD$41</f>
        <v>35000</v>
      </c>
      <c r="BE20" s="4">
        <f ca="1" xml:space="preserve">  Inventory!BE$41</f>
        <v>35000</v>
      </c>
      <c r="BF20" s="4">
        <f ca="1" xml:space="preserve">  Inventory!BF$41</f>
        <v>35000</v>
      </c>
      <c r="BG20" s="4">
        <f ca="1" xml:space="preserve">  Inventory!BG$41</f>
        <v>40000</v>
      </c>
      <c r="BH20" s="4">
        <f ca="1" xml:space="preserve">  Inventory!BH$41</f>
        <v>40000</v>
      </c>
      <c r="BI20" s="4">
        <f ca="1" xml:space="preserve">  Inventory!BI$41</f>
        <v>45000</v>
      </c>
      <c r="BJ20" s="4">
        <f ca="1" xml:space="preserve">  Inventory!BJ$41</f>
        <v>45000</v>
      </c>
      <c r="BK20" s="4">
        <f ca="1" xml:space="preserve">  Inventory!BK$41</f>
        <v>50000</v>
      </c>
      <c r="BL20" s="4">
        <f ca="1" xml:space="preserve">  Inventory!BL$41</f>
        <v>50000</v>
      </c>
      <c r="BM20" s="4">
        <f ca="1" xml:space="preserve">  Inventory!BM$41</f>
        <v>55000</v>
      </c>
      <c r="BN20" s="4">
        <f ca="1" xml:space="preserve">  Inventory!BN$41</f>
        <v>60000</v>
      </c>
      <c r="BO20" s="4">
        <f ca="1" xml:space="preserve">  Inventory!BO$41</f>
        <v>60000</v>
      </c>
      <c r="BP20" s="4">
        <f ca="1" xml:space="preserve">  Inventory!BP$41</f>
        <v>65000</v>
      </c>
      <c r="BQ20" s="4">
        <f ca="1" xml:space="preserve">  Inventory!BQ$41</f>
        <v>70000</v>
      </c>
    </row>
    <row r="21" spans="1:69" outlineLevel="1">
      <c r="A21" s="18"/>
      <c r="B21" s="18"/>
      <c r="C21" s="28"/>
      <c r="D21" s="27"/>
      <c r="E21" s="4" t="str">
        <f xml:space="preserve">  Time!E$251</f>
        <v>Asset Finance Enabled flag</v>
      </c>
      <c r="F21" s="4">
        <f xml:space="preserve">  Time!F$251</f>
        <v>0</v>
      </c>
      <c r="G21" s="4" t="str">
        <f xml:space="preserve">  Time!G$251</f>
        <v>flag</v>
      </c>
      <c r="H21" s="4">
        <f xml:space="preserve">  Time!H$251</f>
        <v>0</v>
      </c>
      <c r="I21" s="4">
        <f xml:space="preserve">  Time!I$251</f>
        <v>0</v>
      </c>
      <c r="J21" s="4">
        <f xml:space="preserve">  Time!J$251</f>
        <v>0</v>
      </c>
      <c r="K21" s="4">
        <f xml:space="preserve">  Time!K$251</f>
        <v>0</v>
      </c>
      <c r="L21" s="4">
        <f xml:space="preserve">  Time!L$251</f>
        <v>0</v>
      </c>
      <c r="M21" s="4">
        <f xml:space="preserve">  Time!M$251</f>
        <v>0</v>
      </c>
      <c r="N21" s="4">
        <f xml:space="preserve">  Time!N$251</f>
        <v>0</v>
      </c>
      <c r="O21" s="4">
        <f xml:space="preserve">  Time!O$251</f>
        <v>0</v>
      </c>
      <c r="P21" s="4">
        <f xml:space="preserve">  Time!P$251</f>
        <v>0</v>
      </c>
      <c r="Q21" s="4">
        <f xml:space="preserve">  Time!Q$251</f>
        <v>0</v>
      </c>
      <c r="R21" s="4">
        <f xml:space="preserve">  Time!R$251</f>
        <v>0</v>
      </c>
      <c r="S21" s="4">
        <f xml:space="preserve">  Time!S$251</f>
        <v>0</v>
      </c>
      <c r="T21" s="4">
        <f xml:space="preserve">  Time!T$251</f>
        <v>0</v>
      </c>
      <c r="U21" s="4">
        <f xml:space="preserve">  Time!U$251</f>
        <v>0</v>
      </c>
      <c r="V21" s="4">
        <f xml:space="preserve">  Time!V$251</f>
        <v>0</v>
      </c>
      <c r="W21" s="4">
        <f xml:space="preserve">  Time!W$251</f>
        <v>0</v>
      </c>
      <c r="X21" s="4">
        <f xml:space="preserve">  Time!X$251</f>
        <v>0</v>
      </c>
      <c r="Y21" s="4">
        <f xml:space="preserve">  Time!Y$251</f>
        <v>0</v>
      </c>
      <c r="Z21" s="4">
        <f xml:space="preserve">  Time!Z$251</f>
        <v>0</v>
      </c>
      <c r="AA21" s="4">
        <f xml:space="preserve">  Time!AA$251</f>
        <v>0</v>
      </c>
      <c r="AB21" s="4">
        <f xml:space="preserve">  Time!AB$251</f>
        <v>0</v>
      </c>
      <c r="AC21" s="4">
        <f xml:space="preserve">  Time!AC$251</f>
        <v>0</v>
      </c>
      <c r="AD21" s="4">
        <f xml:space="preserve">  Time!AD$251</f>
        <v>0</v>
      </c>
      <c r="AE21" s="4">
        <f xml:space="preserve">  Time!AE$251</f>
        <v>0</v>
      </c>
      <c r="AF21" s="4">
        <f xml:space="preserve">  Time!AF$251</f>
        <v>0</v>
      </c>
      <c r="AG21" s="4">
        <f xml:space="preserve">  Time!AG$251</f>
        <v>0</v>
      </c>
      <c r="AH21" s="4">
        <f xml:space="preserve">  Time!AH$251</f>
        <v>0</v>
      </c>
      <c r="AI21" s="4">
        <f xml:space="preserve">  Time!AI$251</f>
        <v>0</v>
      </c>
      <c r="AJ21" s="4">
        <f xml:space="preserve">  Time!AJ$251</f>
        <v>0</v>
      </c>
      <c r="AK21" s="4">
        <f xml:space="preserve">  Time!AK$251</f>
        <v>0</v>
      </c>
      <c r="AL21" s="4">
        <f xml:space="preserve">  Time!AL$251</f>
        <v>0</v>
      </c>
      <c r="AM21" s="4">
        <f xml:space="preserve">  Time!AM$251</f>
        <v>0</v>
      </c>
      <c r="AN21" s="4">
        <f xml:space="preserve">  Time!AN$251</f>
        <v>0</v>
      </c>
      <c r="AO21" s="4">
        <f xml:space="preserve">  Time!AO$251</f>
        <v>0</v>
      </c>
      <c r="AP21" s="4">
        <f xml:space="preserve">  Time!AP$251</f>
        <v>0</v>
      </c>
      <c r="AQ21" s="4">
        <f xml:space="preserve">  Time!AQ$251</f>
        <v>0</v>
      </c>
      <c r="AR21" s="4">
        <f xml:space="preserve">  Time!AR$251</f>
        <v>0</v>
      </c>
      <c r="AS21" s="4">
        <f xml:space="preserve">  Time!AS$251</f>
        <v>0</v>
      </c>
      <c r="AT21" s="4">
        <f xml:space="preserve">  Time!AT$251</f>
        <v>0</v>
      </c>
      <c r="AU21" s="4">
        <f xml:space="preserve">  Time!AU$251</f>
        <v>0</v>
      </c>
      <c r="AV21" s="4">
        <f xml:space="preserve">  Time!AV$251</f>
        <v>0</v>
      </c>
      <c r="AW21" s="4">
        <f xml:space="preserve">  Time!AW$251</f>
        <v>0</v>
      </c>
      <c r="AX21" s="4">
        <f xml:space="preserve">  Time!AX$251</f>
        <v>0</v>
      </c>
      <c r="AY21" s="4">
        <f xml:space="preserve">  Time!AY$251</f>
        <v>0</v>
      </c>
      <c r="AZ21" s="4">
        <f xml:space="preserve">  Time!AZ$251</f>
        <v>0</v>
      </c>
      <c r="BA21" s="4">
        <f xml:space="preserve">  Time!BA$251</f>
        <v>0</v>
      </c>
      <c r="BB21" s="4">
        <f xml:space="preserve">  Time!BB$251</f>
        <v>0</v>
      </c>
      <c r="BC21" s="4">
        <f xml:space="preserve">  Time!BC$251</f>
        <v>0</v>
      </c>
      <c r="BD21" s="4">
        <f xml:space="preserve">  Time!BD$251</f>
        <v>0</v>
      </c>
      <c r="BE21" s="4">
        <f xml:space="preserve">  Time!BE$251</f>
        <v>0</v>
      </c>
      <c r="BF21" s="4">
        <f xml:space="preserve">  Time!BF$251</f>
        <v>0</v>
      </c>
      <c r="BG21" s="4">
        <f xml:space="preserve">  Time!BG$251</f>
        <v>0</v>
      </c>
      <c r="BH21" s="4">
        <f xml:space="preserve">  Time!BH$251</f>
        <v>0</v>
      </c>
      <c r="BI21" s="4">
        <f xml:space="preserve">  Time!BI$251</f>
        <v>0</v>
      </c>
      <c r="BJ21" s="4">
        <f xml:space="preserve">  Time!BJ$251</f>
        <v>0</v>
      </c>
      <c r="BK21" s="4">
        <f xml:space="preserve">  Time!BK$251</f>
        <v>0</v>
      </c>
      <c r="BL21" s="4">
        <f xml:space="preserve">  Time!BL$251</f>
        <v>0</v>
      </c>
      <c r="BM21" s="4">
        <f xml:space="preserve">  Time!BM$251</f>
        <v>0</v>
      </c>
      <c r="BN21" s="4">
        <f xml:space="preserve">  Time!BN$251</f>
        <v>0</v>
      </c>
      <c r="BO21" s="4">
        <f xml:space="preserve">  Time!BO$251</f>
        <v>0</v>
      </c>
      <c r="BP21" s="4">
        <f xml:space="preserve">  Time!BP$251</f>
        <v>0</v>
      </c>
      <c r="BQ21" s="4">
        <f xml:space="preserve">  Time!BQ$251</f>
        <v>0</v>
      </c>
    </row>
    <row r="22" spans="1:69" outlineLevel="1">
      <c r="A22" s="34"/>
      <c r="B22" s="34"/>
      <c r="C22" s="64"/>
      <c r="D22" s="65"/>
      <c r="E22" s="21" t="s">
        <v>15</v>
      </c>
      <c r="F22" s="21"/>
      <c r="G22" s="21" t="s">
        <v>257</v>
      </c>
      <c r="H22" s="3">
        <f ca="1" xml:space="preserve"> SUM( J22:BQ22 )</f>
        <v>0</v>
      </c>
      <c r="I22" s="21"/>
      <c r="J22" s="3">
        <f t="shared" ref="J22:BQ22" ca="1" si="5" xml:space="preserve">  J21 * J20 * $F18 * $F19</f>
        <v>0</v>
      </c>
      <c r="K22" s="3">
        <f t="shared" ca="1" si="5"/>
        <v>0</v>
      </c>
      <c r="L22" s="3">
        <f t="shared" ca="1" si="5"/>
        <v>0</v>
      </c>
      <c r="M22" s="3">
        <f t="shared" ca="1" si="5"/>
        <v>0</v>
      </c>
      <c r="N22" s="3">
        <f t="shared" ca="1" si="5"/>
        <v>0</v>
      </c>
      <c r="O22" s="3">
        <f t="shared" ca="1" si="5"/>
        <v>0</v>
      </c>
      <c r="P22" s="3">
        <f t="shared" ca="1" si="5"/>
        <v>0</v>
      </c>
      <c r="Q22" s="3">
        <f t="shared" ca="1" si="5"/>
        <v>0</v>
      </c>
      <c r="R22" s="3">
        <f t="shared" ca="1" si="5"/>
        <v>0</v>
      </c>
      <c r="S22" s="3">
        <f t="shared" ca="1" si="5"/>
        <v>0</v>
      </c>
      <c r="T22" s="3">
        <f t="shared" ca="1" si="5"/>
        <v>0</v>
      </c>
      <c r="U22" s="3">
        <f t="shared" ca="1" si="5"/>
        <v>0</v>
      </c>
      <c r="V22" s="3">
        <f t="shared" ca="1" si="5"/>
        <v>0</v>
      </c>
      <c r="W22" s="3">
        <f t="shared" ca="1" si="5"/>
        <v>0</v>
      </c>
      <c r="X22" s="3">
        <f t="shared" ca="1" si="5"/>
        <v>0</v>
      </c>
      <c r="Y22" s="3">
        <f t="shared" ca="1" si="5"/>
        <v>0</v>
      </c>
      <c r="Z22" s="3">
        <f t="shared" ca="1" si="5"/>
        <v>0</v>
      </c>
      <c r="AA22" s="3">
        <f t="shared" ca="1" si="5"/>
        <v>0</v>
      </c>
      <c r="AB22" s="3">
        <f t="shared" ca="1" si="5"/>
        <v>0</v>
      </c>
      <c r="AC22" s="3">
        <f t="shared" ca="1" si="5"/>
        <v>0</v>
      </c>
      <c r="AD22" s="3">
        <f t="shared" ca="1" si="5"/>
        <v>0</v>
      </c>
      <c r="AE22" s="3">
        <f t="shared" ca="1" si="5"/>
        <v>0</v>
      </c>
      <c r="AF22" s="3">
        <f t="shared" ca="1" si="5"/>
        <v>0</v>
      </c>
      <c r="AG22" s="3">
        <f t="shared" ca="1" si="5"/>
        <v>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265</v>
      </c>
    </row>
    <row r="26" spans="1:69" outlineLevel="1">
      <c r="A26" s="18"/>
      <c r="B26" s="18"/>
      <c r="C26" s="28"/>
      <c r="D26" s="27"/>
      <c r="E26" s="4" t="str">
        <f xml:space="preserve">  InpC!E$78</f>
        <v>Asset Finance Period</v>
      </c>
      <c r="F26" s="4">
        <f xml:space="preserve">  InpC!F$78</f>
        <v>24</v>
      </c>
      <c r="G26" s="4" t="str">
        <f xml:space="preserve">  InpC!G$78</f>
        <v>Months</v>
      </c>
      <c r="M26" s="2"/>
    </row>
    <row r="27" spans="1:69" outlineLevel="1">
      <c r="E27" s="2" t="str">
        <f t="shared" ref="E27:BQ27" si="6" xml:space="preserve">  E$11</f>
        <v>Asset Finance balance BEG</v>
      </c>
      <c r="F27" s="2">
        <f t="shared" si="6"/>
        <v>0</v>
      </c>
      <c r="G27" s="2" t="str">
        <f t="shared" si="6"/>
        <v>GBP</v>
      </c>
      <c r="H27" s="2">
        <f t="shared" si="6"/>
        <v>0</v>
      </c>
      <c r="I27" s="2">
        <f t="shared" si="6"/>
        <v>0</v>
      </c>
      <c r="J27" s="2">
        <f t="shared" si="6"/>
        <v>0</v>
      </c>
      <c r="K27" s="2">
        <f t="shared" ca="1" si="6"/>
        <v>0</v>
      </c>
      <c r="L27" s="2">
        <f t="shared" ca="1" si="6"/>
        <v>0</v>
      </c>
      <c r="M27" s="2">
        <f t="shared" ca="1" si="6"/>
        <v>0</v>
      </c>
      <c r="N27" s="2">
        <f t="shared" ca="1" si="6"/>
        <v>0</v>
      </c>
      <c r="O27" s="2">
        <f t="shared" ca="1" si="6"/>
        <v>0</v>
      </c>
      <c r="P27" s="2">
        <f t="shared" ca="1" si="6"/>
        <v>0</v>
      </c>
      <c r="Q27" s="2">
        <f t="shared" ca="1" si="6"/>
        <v>0</v>
      </c>
      <c r="R27" s="2">
        <f t="shared" ca="1" si="6"/>
        <v>0</v>
      </c>
      <c r="S27" s="2">
        <f t="shared" ca="1" si="6"/>
        <v>0</v>
      </c>
      <c r="T27" s="2">
        <f t="shared" ca="1" si="6"/>
        <v>0</v>
      </c>
      <c r="U27" s="2">
        <f t="shared" ca="1" si="6"/>
        <v>0</v>
      </c>
      <c r="V27" s="2">
        <f t="shared" ca="1" si="6"/>
        <v>0</v>
      </c>
      <c r="W27" s="2">
        <f t="shared" ca="1" si="6"/>
        <v>0</v>
      </c>
      <c r="X27" s="2">
        <f t="shared" ca="1" si="6"/>
        <v>0</v>
      </c>
      <c r="Y27" s="2">
        <f t="shared" ca="1" si="6"/>
        <v>0</v>
      </c>
      <c r="Z27" s="2">
        <f t="shared" ca="1" si="6"/>
        <v>0</v>
      </c>
      <c r="AA27" s="2">
        <f t="shared" ca="1" si="6"/>
        <v>0</v>
      </c>
      <c r="AB27" s="2">
        <f t="shared" ca="1" si="6"/>
        <v>0</v>
      </c>
      <c r="AC27" s="2">
        <f t="shared" ca="1" si="6"/>
        <v>0</v>
      </c>
      <c r="AD27" s="2">
        <f t="shared" ca="1" si="6"/>
        <v>0</v>
      </c>
      <c r="AE27" s="2">
        <f t="shared" ca="1" si="6"/>
        <v>0</v>
      </c>
      <c r="AF27" s="2">
        <f t="shared" ca="1" si="6"/>
        <v>0</v>
      </c>
      <c r="AG27" s="2">
        <f t="shared" ca="1" si="6"/>
        <v>0</v>
      </c>
      <c r="AH27" s="2">
        <f t="shared" ca="1" si="6"/>
        <v>0</v>
      </c>
      <c r="AI27" s="2">
        <f t="shared" ca="1" si="6"/>
        <v>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251</v>
      </c>
      <c r="G28" s="47" t="s">
        <v>257</v>
      </c>
      <c r="H28" s="2">
        <f t="shared" ref="H28:H29" ca="1" si="7" xml:space="preserve"> SUM( J28:BQ28 )</f>
        <v>0</v>
      </c>
      <c r="J28" s="2">
        <f t="shared" ref="J28:BQ28" si="8" xml:space="preserve">  J27 / $F26</f>
        <v>0</v>
      </c>
      <c r="K28" s="2">
        <f t="shared" ca="1" si="8"/>
        <v>0</v>
      </c>
      <c r="L28" s="2">
        <f t="shared" ca="1" si="8"/>
        <v>0</v>
      </c>
      <c r="M28" s="2">
        <f t="shared" ca="1" si="8"/>
        <v>0</v>
      </c>
      <c r="N28" s="2">
        <f t="shared" ca="1" si="8"/>
        <v>0</v>
      </c>
      <c r="O28" s="2">
        <f t="shared" ca="1" si="8"/>
        <v>0</v>
      </c>
      <c r="P28" s="2">
        <f t="shared" ca="1" si="8"/>
        <v>0</v>
      </c>
      <c r="Q28" s="2">
        <f t="shared" ca="1" si="8"/>
        <v>0</v>
      </c>
      <c r="R28" s="2">
        <f t="shared" ca="1" si="8"/>
        <v>0</v>
      </c>
      <c r="S28" s="2">
        <f t="shared" ca="1" si="8"/>
        <v>0</v>
      </c>
      <c r="T28" s="2">
        <f t="shared" ca="1" si="8"/>
        <v>0</v>
      </c>
      <c r="U28" s="2">
        <f t="shared" ca="1" si="8"/>
        <v>0</v>
      </c>
      <c r="V28" s="2">
        <f t="shared" ca="1" si="8"/>
        <v>0</v>
      </c>
      <c r="W28" s="2">
        <f t="shared" ca="1" si="8"/>
        <v>0</v>
      </c>
      <c r="X28" s="2">
        <f t="shared" ca="1" si="8"/>
        <v>0</v>
      </c>
      <c r="Y28" s="2">
        <f t="shared" ca="1" si="8"/>
        <v>0</v>
      </c>
      <c r="Z28" s="2">
        <f t="shared" ca="1" si="8"/>
        <v>0</v>
      </c>
      <c r="AA28" s="2">
        <f t="shared" ca="1" si="8"/>
        <v>0</v>
      </c>
      <c r="AB28" s="2">
        <f t="shared" ca="1" si="8"/>
        <v>0</v>
      </c>
      <c r="AC28" s="2">
        <f t="shared" ca="1" si="8"/>
        <v>0</v>
      </c>
      <c r="AD28" s="2">
        <f t="shared" ca="1" si="8"/>
        <v>0</v>
      </c>
      <c r="AE28" s="2">
        <f t="shared" ca="1" si="8"/>
        <v>0</v>
      </c>
      <c r="AF28" s="2">
        <f t="shared" ca="1" si="8"/>
        <v>0</v>
      </c>
      <c r="AG28" s="2">
        <f t="shared" ca="1" si="8"/>
        <v>0</v>
      </c>
      <c r="AH28" s="2">
        <f t="shared" ca="1" si="8"/>
        <v>0</v>
      </c>
      <c r="AI28" s="2">
        <f t="shared" ca="1" si="8"/>
        <v>0</v>
      </c>
      <c r="AJ28" s="2">
        <f t="shared" ca="1" si="8"/>
        <v>0</v>
      </c>
      <c r="AK28" s="2">
        <f t="shared" ca="1" si="8"/>
        <v>0</v>
      </c>
      <c r="AL28" s="2">
        <f t="shared" ca="1" si="8"/>
        <v>0</v>
      </c>
      <c r="AM28" s="2">
        <f t="shared" ca="1" si="8"/>
        <v>0</v>
      </c>
      <c r="AN28" s="2">
        <f t="shared" ca="1" si="8"/>
        <v>0</v>
      </c>
      <c r="AO28" s="2">
        <f t="shared" ca="1" si="8"/>
        <v>0</v>
      </c>
      <c r="AP28" s="2">
        <f t="shared" ca="1" si="8"/>
        <v>0</v>
      </c>
      <c r="AQ28" s="2">
        <f t="shared" ca="1" si="8"/>
        <v>0</v>
      </c>
      <c r="AR28" s="2">
        <f t="shared" ca="1" si="8"/>
        <v>0</v>
      </c>
      <c r="AS28" s="2">
        <f t="shared" ca="1" si="8"/>
        <v>0</v>
      </c>
      <c r="AT28" s="2">
        <f t="shared" ca="1" si="8"/>
        <v>0</v>
      </c>
      <c r="AU28" s="2">
        <f t="shared" ca="1" si="8"/>
        <v>0</v>
      </c>
      <c r="AV28" s="2">
        <f t="shared" ca="1" si="8"/>
        <v>0</v>
      </c>
      <c r="AW28" s="2">
        <f t="shared" ca="1" si="8"/>
        <v>0</v>
      </c>
      <c r="AX28" s="2">
        <f t="shared" ca="1" si="8"/>
        <v>0</v>
      </c>
      <c r="AY28" s="2">
        <f t="shared" ca="1" si="8"/>
        <v>0</v>
      </c>
      <c r="AZ28" s="2">
        <f t="shared" ca="1" si="8"/>
        <v>0</v>
      </c>
      <c r="BA28" s="2">
        <f t="shared" ca="1" si="8"/>
        <v>0</v>
      </c>
      <c r="BB28" s="2">
        <f t="shared" ca="1" si="8"/>
        <v>0</v>
      </c>
      <c r="BC28" s="2">
        <f t="shared" ca="1" si="8"/>
        <v>0</v>
      </c>
      <c r="BD28" s="2">
        <f t="shared" ca="1" si="8"/>
        <v>0</v>
      </c>
      <c r="BE28" s="2">
        <f t="shared" ca="1" si="8"/>
        <v>0</v>
      </c>
      <c r="BF28" s="2">
        <f t="shared" ca="1" si="8"/>
        <v>0</v>
      </c>
      <c r="BG28" s="2">
        <f t="shared" ca="1" si="8"/>
        <v>0</v>
      </c>
      <c r="BH28" s="2">
        <f t="shared" ca="1" si="8"/>
        <v>0</v>
      </c>
      <c r="BI28" s="2">
        <f t="shared" ca="1" si="8"/>
        <v>0</v>
      </c>
      <c r="BJ28" s="2">
        <f t="shared" ca="1" si="8"/>
        <v>0</v>
      </c>
      <c r="BK28" s="2">
        <f t="shared" ca="1" si="8"/>
        <v>0</v>
      </c>
      <c r="BL28" s="2">
        <f t="shared" ca="1" si="8"/>
        <v>0</v>
      </c>
      <c r="BM28" s="2">
        <f t="shared" ca="1" si="8"/>
        <v>0</v>
      </c>
      <c r="BN28" s="2">
        <f t="shared" ca="1" si="8"/>
        <v>0</v>
      </c>
      <c r="BO28" s="2">
        <f t="shared" ca="1" si="8"/>
        <v>0</v>
      </c>
      <c r="BP28" s="2">
        <f t="shared" ca="1" si="8"/>
        <v>0</v>
      </c>
      <c r="BQ28" s="2">
        <f t="shared" ca="1" si="8"/>
        <v>0</v>
      </c>
    </row>
    <row r="29" spans="1:69" outlineLevel="1">
      <c r="A29" s="34"/>
      <c r="B29" s="34"/>
      <c r="C29" s="64"/>
      <c r="D29" s="65"/>
      <c r="E29" s="21" t="str">
        <f xml:space="preserve"> LEFT($E$28, LEN($E$28) - 3 )</f>
        <v xml:space="preserve">Asset Finance principal repayment </v>
      </c>
      <c r="F29" s="21"/>
      <c r="G29" s="21" t="str">
        <f xml:space="preserve"> G$28</f>
        <v>GBP</v>
      </c>
      <c r="H29" s="3">
        <f t="shared" ca="1" si="7"/>
        <v>0</v>
      </c>
      <c r="I29" s="21"/>
      <c r="J29" s="3">
        <f t="shared" ref="J29:BQ29" si="9" xml:space="preserve"> -1 * J28</f>
        <v>0</v>
      </c>
      <c r="K29" s="3">
        <f t="shared" ca="1" si="9"/>
        <v>0</v>
      </c>
      <c r="L29" s="3">
        <f t="shared" ca="1" si="9"/>
        <v>0</v>
      </c>
      <c r="M29" s="3">
        <f t="shared" ca="1" si="9"/>
        <v>0</v>
      </c>
      <c r="N29" s="3">
        <f t="shared" ca="1" si="9"/>
        <v>0</v>
      </c>
      <c r="O29" s="3">
        <f t="shared" ca="1" si="9"/>
        <v>0</v>
      </c>
      <c r="P29" s="3">
        <f t="shared" ca="1" si="9"/>
        <v>0</v>
      </c>
      <c r="Q29" s="3">
        <f t="shared" ca="1" si="9"/>
        <v>0</v>
      </c>
      <c r="R29" s="3">
        <f t="shared" ca="1" si="9"/>
        <v>0</v>
      </c>
      <c r="S29" s="3">
        <f t="shared" ca="1" si="9"/>
        <v>0</v>
      </c>
      <c r="T29" s="3">
        <f t="shared" ca="1" si="9"/>
        <v>0</v>
      </c>
      <c r="U29" s="3">
        <f t="shared" ca="1" si="9"/>
        <v>0</v>
      </c>
      <c r="V29" s="3">
        <f t="shared" ca="1" si="9"/>
        <v>0</v>
      </c>
      <c r="W29" s="3">
        <f t="shared" ca="1" si="9"/>
        <v>0</v>
      </c>
      <c r="X29" s="3">
        <f t="shared" ca="1" si="9"/>
        <v>0</v>
      </c>
      <c r="Y29" s="3">
        <f t="shared" ca="1" si="9"/>
        <v>0</v>
      </c>
      <c r="Z29" s="3">
        <f t="shared" ca="1" si="9"/>
        <v>0</v>
      </c>
      <c r="AA29" s="3">
        <f t="shared" ca="1" si="9"/>
        <v>0</v>
      </c>
      <c r="AB29" s="3">
        <f t="shared" ca="1" si="9"/>
        <v>0</v>
      </c>
      <c r="AC29" s="3">
        <f t="shared" ca="1" si="9"/>
        <v>0</v>
      </c>
      <c r="AD29" s="3">
        <f t="shared" ca="1" si="9"/>
        <v>0</v>
      </c>
      <c r="AE29" s="3">
        <f t="shared" ca="1" si="9"/>
        <v>0</v>
      </c>
      <c r="AF29" s="3">
        <f t="shared" ca="1" si="9"/>
        <v>0</v>
      </c>
      <c r="AG29" s="3">
        <f t="shared" ca="1" si="9"/>
        <v>0</v>
      </c>
      <c r="AH29" s="3">
        <f t="shared" ca="1" si="9"/>
        <v>0</v>
      </c>
      <c r="AI29" s="3">
        <f t="shared" ca="1" si="9"/>
        <v>0</v>
      </c>
      <c r="AJ29" s="3">
        <f t="shared" ca="1" si="9"/>
        <v>0</v>
      </c>
      <c r="AK29" s="3">
        <f t="shared" ca="1" si="9"/>
        <v>0</v>
      </c>
      <c r="AL29" s="3">
        <f t="shared" ca="1" si="9"/>
        <v>0</v>
      </c>
      <c r="AM29" s="3">
        <f t="shared" ca="1" si="9"/>
        <v>0</v>
      </c>
      <c r="AN29" s="3">
        <f t="shared" ca="1" si="9"/>
        <v>0</v>
      </c>
      <c r="AO29" s="3">
        <f t="shared" ca="1" si="9"/>
        <v>0</v>
      </c>
      <c r="AP29" s="3">
        <f t="shared" ca="1" si="9"/>
        <v>0</v>
      </c>
      <c r="AQ29" s="3">
        <f t="shared" ca="1" si="9"/>
        <v>0</v>
      </c>
      <c r="AR29" s="3">
        <f t="shared" ca="1" si="9"/>
        <v>0</v>
      </c>
      <c r="AS29" s="3">
        <f t="shared" ca="1" si="9"/>
        <v>0</v>
      </c>
      <c r="AT29" s="3">
        <f t="shared" ca="1" si="9"/>
        <v>0</v>
      </c>
      <c r="AU29" s="3">
        <f t="shared" ca="1" si="9"/>
        <v>0</v>
      </c>
      <c r="AV29" s="3">
        <f t="shared" ca="1" si="9"/>
        <v>0</v>
      </c>
      <c r="AW29" s="3">
        <f t="shared" ca="1" si="9"/>
        <v>0</v>
      </c>
      <c r="AX29" s="3">
        <f t="shared" ca="1" si="9"/>
        <v>0</v>
      </c>
      <c r="AY29" s="3">
        <f t="shared" ca="1" si="9"/>
        <v>0</v>
      </c>
      <c r="AZ29" s="3">
        <f t="shared" ca="1" si="9"/>
        <v>0</v>
      </c>
      <c r="BA29" s="3">
        <f t="shared" ca="1" si="9"/>
        <v>0</v>
      </c>
      <c r="BB29" s="3">
        <f t="shared" ca="1" si="9"/>
        <v>0</v>
      </c>
      <c r="BC29" s="3">
        <f t="shared" ca="1" si="9"/>
        <v>0</v>
      </c>
      <c r="BD29" s="3">
        <f t="shared" ca="1" si="9"/>
        <v>0</v>
      </c>
      <c r="BE29" s="3">
        <f t="shared" ca="1" si="9"/>
        <v>0</v>
      </c>
      <c r="BF29" s="3">
        <f t="shared" ca="1" si="9"/>
        <v>0</v>
      </c>
      <c r="BG29" s="3">
        <f t="shared" ca="1" si="9"/>
        <v>0</v>
      </c>
      <c r="BH29" s="3">
        <f t="shared" ca="1" si="9"/>
        <v>0</v>
      </c>
      <c r="BI29" s="3">
        <f t="shared" ca="1" si="9"/>
        <v>0</v>
      </c>
      <c r="BJ29" s="3">
        <f t="shared" ca="1" si="9"/>
        <v>0</v>
      </c>
      <c r="BK29" s="3">
        <f t="shared" ca="1" si="9"/>
        <v>0</v>
      </c>
      <c r="BL29" s="3">
        <f t="shared" ca="1" si="9"/>
        <v>0</v>
      </c>
      <c r="BM29" s="3">
        <f t="shared" ca="1" si="9"/>
        <v>0</v>
      </c>
      <c r="BN29" s="3">
        <f t="shared" ca="1" si="9"/>
        <v>0</v>
      </c>
      <c r="BO29" s="3">
        <f t="shared" ca="1" si="9"/>
        <v>0</v>
      </c>
      <c r="BP29" s="3">
        <f t="shared" ca="1" si="9"/>
        <v>0</v>
      </c>
      <c r="BQ29" s="3">
        <f t="shared" ca="1" si="9"/>
        <v>0</v>
      </c>
    </row>
    <row r="32" spans="1:69">
      <c r="B32" s="25" t="s">
        <v>325</v>
      </c>
    </row>
    <row r="33" spans="1:69" outlineLevel="1">
      <c r="E33" s="2" t="str">
        <f t="shared" ref="E33:BQ33" si="10" xml:space="preserve">  E$41</f>
        <v>Asset Finance interest POS</v>
      </c>
      <c r="F33" s="2">
        <f t="shared" si="10"/>
        <v>0</v>
      </c>
      <c r="G33" s="2" t="str">
        <f t="shared" si="10"/>
        <v>GBP</v>
      </c>
      <c r="H33" s="2">
        <f t="shared" ca="1" si="10"/>
        <v>0</v>
      </c>
      <c r="I33" s="2">
        <f t="shared" si="10"/>
        <v>0</v>
      </c>
      <c r="J33" s="2">
        <f t="shared" si="10"/>
        <v>0</v>
      </c>
      <c r="K33" s="2">
        <f t="shared" ca="1" si="10"/>
        <v>0</v>
      </c>
      <c r="L33" s="2">
        <f t="shared" ca="1" si="10"/>
        <v>0</v>
      </c>
      <c r="M33" s="2">
        <f t="shared" ca="1" si="10"/>
        <v>0</v>
      </c>
      <c r="N33" s="2">
        <f t="shared" ca="1" si="10"/>
        <v>0</v>
      </c>
      <c r="O33" s="2">
        <f t="shared" ca="1" si="10"/>
        <v>0</v>
      </c>
      <c r="P33" s="2">
        <f t="shared" ca="1" si="10"/>
        <v>0</v>
      </c>
      <c r="Q33" s="2">
        <f t="shared" ca="1" si="10"/>
        <v>0</v>
      </c>
      <c r="R33" s="2">
        <f t="shared" ca="1" si="10"/>
        <v>0</v>
      </c>
      <c r="S33" s="2">
        <f t="shared" ca="1" si="10"/>
        <v>0</v>
      </c>
      <c r="T33" s="2">
        <f t="shared" ca="1" si="10"/>
        <v>0</v>
      </c>
      <c r="U33" s="2">
        <f t="shared" ca="1" si="10"/>
        <v>0</v>
      </c>
      <c r="V33" s="2">
        <f t="shared" ca="1" si="10"/>
        <v>0</v>
      </c>
      <c r="W33" s="2">
        <f t="shared" ca="1" si="10"/>
        <v>0</v>
      </c>
      <c r="X33" s="2">
        <f t="shared" ca="1" si="10"/>
        <v>0</v>
      </c>
      <c r="Y33" s="2">
        <f t="shared" ca="1" si="10"/>
        <v>0</v>
      </c>
      <c r="Z33" s="2">
        <f t="shared" ca="1" si="10"/>
        <v>0</v>
      </c>
      <c r="AA33" s="2">
        <f t="shared" ca="1" si="10"/>
        <v>0</v>
      </c>
      <c r="AB33" s="2">
        <f t="shared" ca="1" si="10"/>
        <v>0</v>
      </c>
      <c r="AC33" s="2">
        <f t="shared" ca="1" si="10"/>
        <v>0</v>
      </c>
      <c r="AD33" s="2">
        <f t="shared" ca="1" si="10"/>
        <v>0</v>
      </c>
      <c r="AE33" s="2">
        <f t="shared" ca="1" si="10"/>
        <v>0</v>
      </c>
      <c r="AF33" s="2">
        <f t="shared" ca="1" si="10"/>
        <v>0</v>
      </c>
      <c r="AG33" s="2">
        <f t="shared" ca="1" si="10"/>
        <v>0</v>
      </c>
      <c r="AH33" s="2">
        <f t="shared" ca="1" si="10"/>
        <v>0</v>
      </c>
      <c r="AI33" s="2">
        <f t="shared" ca="1" si="10"/>
        <v>0</v>
      </c>
      <c r="AJ33" s="2">
        <f t="shared" ca="1" si="10"/>
        <v>0</v>
      </c>
      <c r="AK33" s="2">
        <f t="shared" ca="1" si="10"/>
        <v>0</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2" t="str">
        <f t="shared" ref="E34:BQ34" si="11" xml:space="preserve">  E$47</f>
        <v>Asset Finance interest paid POS</v>
      </c>
      <c r="F34" s="2">
        <f t="shared" si="11"/>
        <v>0</v>
      </c>
      <c r="G34" s="2" t="str">
        <f t="shared" si="11"/>
        <v>GBP</v>
      </c>
      <c r="H34" s="2">
        <f t="shared" ca="1" si="11"/>
        <v>0</v>
      </c>
      <c r="I34" s="2">
        <f t="shared" si="11"/>
        <v>0</v>
      </c>
      <c r="J34" s="2">
        <f t="shared" si="11"/>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5" spans="1:69" outlineLevel="1">
      <c r="E35" s="47" t="s">
        <v>325</v>
      </c>
      <c r="G35" s="47" t="s">
        <v>257</v>
      </c>
      <c r="H35" s="2">
        <f ca="1" xml:space="preserve"> SUM( J35:BQ35 )</f>
        <v>0</v>
      </c>
      <c r="J35" s="2">
        <f t="shared" ref="J35:BQ35" si="12" xml:space="preserve">  J33 - J34</f>
        <v>0</v>
      </c>
      <c r="K35" s="2">
        <f t="shared" ca="1" si="12"/>
        <v>0</v>
      </c>
      <c r="L35" s="2">
        <f t="shared" ca="1" si="12"/>
        <v>0</v>
      </c>
      <c r="M35" s="2">
        <f t="shared" ca="1" si="12"/>
        <v>0</v>
      </c>
      <c r="N35" s="2">
        <f t="shared" ca="1" si="12"/>
        <v>0</v>
      </c>
      <c r="O35" s="2">
        <f t="shared" ca="1" si="12"/>
        <v>0</v>
      </c>
      <c r="P35" s="2">
        <f t="shared" ca="1" si="12"/>
        <v>0</v>
      </c>
      <c r="Q35" s="2">
        <f t="shared" ca="1" si="12"/>
        <v>0</v>
      </c>
      <c r="R35" s="2">
        <f t="shared" ca="1" si="12"/>
        <v>0</v>
      </c>
      <c r="S35" s="2">
        <f t="shared" ca="1" si="12"/>
        <v>0</v>
      </c>
      <c r="T35" s="2">
        <f t="shared" ca="1" si="12"/>
        <v>0</v>
      </c>
      <c r="U35" s="2">
        <f t="shared" ca="1" si="12"/>
        <v>0</v>
      </c>
      <c r="V35" s="2">
        <f t="shared" ca="1" si="12"/>
        <v>0</v>
      </c>
      <c r="W35" s="2">
        <f t="shared" ca="1" si="12"/>
        <v>0</v>
      </c>
      <c r="X35" s="2">
        <f t="shared" ca="1" si="12"/>
        <v>0</v>
      </c>
      <c r="Y35" s="2">
        <f t="shared" ca="1" si="12"/>
        <v>0</v>
      </c>
      <c r="Z35" s="2">
        <f t="shared" ca="1" si="12"/>
        <v>0</v>
      </c>
      <c r="AA35" s="2">
        <f t="shared" ca="1" si="12"/>
        <v>0</v>
      </c>
      <c r="AB35" s="2">
        <f t="shared" ca="1" si="12"/>
        <v>0</v>
      </c>
      <c r="AC35" s="2">
        <f t="shared" ca="1" si="12"/>
        <v>0</v>
      </c>
      <c r="AD35" s="2">
        <f t="shared" ca="1" si="12"/>
        <v>0</v>
      </c>
      <c r="AE35" s="2">
        <f t="shared" ca="1" si="12"/>
        <v>0</v>
      </c>
      <c r="AF35" s="2">
        <f t="shared" ca="1" si="12"/>
        <v>0</v>
      </c>
      <c r="AG35" s="2">
        <f t="shared" ca="1" si="12"/>
        <v>0</v>
      </c>
      <c r="AH35" s="2">
        <f t="shared" ca="1" si="12"/>
        <v>0</v>
      </c>
      <c r="AI35" s="2">
        <f t="shared" ca="1" si="12"/>
        <v>0</v>
      </c>
      <c r="AJ35" s="2">
        <f t="shared" ca="1" si="12"/>
        <v>0</v>
      </c>
      <c r="AK35" s="2">
        <f t="shared" ca="1" si="12"/>
        <v>0</v>
      </c>
      <c r="AL35" s="2">
        <f t="shared" ca="1" si="12"/>
        <v>0</v>
      </c>
      <c r="AM35" s="2">
        <f t="shared" ca="1" si="12"/>
        <v>0</v>
      </c>
      <c r="AN35" s="2">
        <f t="shared" ca="1" si="12"/>
        <v>0</v>
      </c>
      <c r="AO35" s="2">
        <f t="shared" ca="1" si="12"/>
        <v>0</v>
      </c>
      <c r="AP35" s="2">
        <f t="shared" ca="1" si="12"/>
        <v>0</v>
      </c>
      <c r="AQ35" s="2">
        <f t="shared" ca="1" si="12"/>
        <v>0</v>
      </c>
      <c r="AR35" s="2">
        <f t="shared" ca="1" si="12"/>
        <v>0</v>
      </c>
      <c r="AS35" s="2">
        <f t="shared" ca="1" si="12"/>
        <v>0</v>
      </c>
      <c r="AT35" s="2">
        <f t="shared" ca="1" si="12"/>
        <v>0</v>
      </c>
      <c r="AU35" s="2">
        <f t="shared" ca="1" si="12"/>
        <v>0</v>
      </c>
      <c r="AV35" s="2">
        <f t="shared" ca="1" si="12"/>
        <v>0</v>
      </c>
      <c r="AW35" s="2">
        <f t="shared" ca="1" si="12"/>
        <v>0</v>
      </c>
      <c r="AX35" s="2">
        <f t="shared" ca="1" si="12"/>
        <v>0</v>
      </c>
      <c r="AY35" s="2">
        <f t="shared" ca="1" si="12"/>
        <v>0</v>
      </c>
      <c r="AZ35" s="2">
        <f t="shared" ca="1" si="12"/>
        <v>0</v>
      </c>
      <c r="BA35" s="2">
        <f t="shared" ca="1" si="12"/>
        <v>0</v>
      </c>
      <c r="BB35" s="2">
        <f t="shared" ca="1" si="12"/>
        <v>0</v>
      </c>
      <c r="BC35" s="2">
        <f t="shared" ca="1" si="12"/>
        <v>0</v>
      </c>
      <c r="BD35" s="2">
        <f t="shared" ca="1" si="12"/>
        <v>0</v>
      </c>
      <c r="BE35" s="2">
        <f t="shared" ca="1" si="12"/>
        <v>0</v>
      </c>
      <c r="BF35" s="2">
        <f t="shared" ca="1" si="12"/>
        <v>0</v>
      </c>
      <c r="BG35" s="2">
        <f t="shared" ca="1" si="12"/>
        <v>0</v>
      </c>
      <c r="BH35" s="2">
        <f t="shared" ca="1" si="12"/>
        <v>0</v>
      </c>
      <c r="BI35" s="2">
        <f t="shared" ca="1" si="12"/>
        <v>0</v>
      </c>
      <c r="BJ35" s="2">
        <f t="shared" ca="1" si="12"/>
        <v>0</v>
      </c>
      <c r="BK35" s="2">
        <f t="shared" ca="1" si="12"/>
        <v>0</v>
      </c>
      <c r="BL35" s="2">
        <f t="shared" ca="1" si="12"/>
        <v>0</v>
      </c>
      <c r="BM35" s="2">
        <f t="shared" ca="1" si="12"/>
        <v>0</v>
      </c>
      <c r="BN35" s="2">
        <f t="shared" ca="1" si="12"/>
        <v>0</v>
      </c>
      <c r="BO35" s="2">
        <f t="shared" ca="1" si="12"/>
        <v>0</v>
      </c>
      <c r="BP35" s="2">
        <f t="shared" ca="1" si="12"/>
        <v>0</v>
      </c>
      <c r="BQ35" s="2">
        <f t="shared" ca="1" si="12"/>
        <v>0</v>
      </c>
    </row>
    <row r="38" spans="1:69">
      <c r="B38" s="25" t="s">
        <v>135</v>
      </c>
    </row>
    <row r="39" spans="1:69" outlineLevel="1">
      <c r="E39" s="57" t="str">
        <f t="shared" ref="E39:G39" si="13" xml:space="preserve">  E$55</f>
        <v>Asset Finance period interest rate</v>
      </c>
      <c r="F39" s="57">
        <f t="shared" si="13"/>
        <v>6.6666666666666671E-3</v>
      </c>
      <c r="G39" s="57" t="str">
        <f t="shared" si="13"/>
        <v>%</v>
      </c>
      <c r="M39" s="57"/>
    </row>
    <row r="40" spans="1:69" outlineLevel="1">
      <c r="E40" s="2" t="str">
        <f t="shared" ref="E40:BQ40" si="14" xml:space="preserve">  E$11</f>
        <v>Asset Finance balance BEG</v>
      </c>
      <c r="F40" s="2">
        <f t="shared" si="14"/>
        <v>0</v>
      </c>
      <c r="G40" s="2" t="str">
        <f t="shared" si="14"/>
        <v>GBP</v>
      </c>
      <c r="H40" s="2">
        <f t="shared" si="14"/>
        <v>0</v>
      </c>
      <c r="I40" s="2">
        <f t="shared" si="14"/>
        <v>0</v>
      </c>
      <c r="J40" s="2">
        <f t="shared" si="14"/>
        <v>0</v>
      </c>
      <c r="K40" s="2">
        <f t="shared" ca="1" si="14"/>
        <v>0</v>
      </c>
      <c r="L40" s="2">
        <f t="shared" ca="1" si="14"/>
        <v>0</v>
      </c>
      <c r="M40" s="2">
        <f t="shared" ca="1" si="14"/>
        <v>0</v>
      </c>
      <c r="N40" s="2">
        <f t="shared" ca="1" si="14"/>
        <v>0</v>
      </c>
      <c r="O40" s="2">
        <f t="shared" ca="1" si="14"/>
        <v>0</v>
      </c>
      <c r="P40" s="2">
        <f t="shared" ca="1" si="14"/>
        <v>0</v>
      </c>
      <c r="Q40" s="2">
        <f t="shared" ca="1" si="14"/>
        <v>0</v>
      </c>
      <c r="R40" s="2">
        <f t="shared" ca="1" si="14"/>
        <v>0</v>
      </c>
      <c r="S40" s="2">
        <f t="shared" ca="1" si="14"/>
        <v>0</v>
      </c>
      <c r="T40" s="2">
        <f t="shared" ca="1" si="14"/>
        <v>0</v>
      </c>
      <c r="U40" s="2">
        <f t="shared" ca="1" si="14"/>
        <v>0</v>
      </c>
      <c r="V40" s="2">
        <f t="shared" ca="1" si="14"/>
        <v>0</v>
      </c>
      <c r="W40" s="2">
        <f t="shared" ca="1" si="14"/>
        <v>0</v>
      </c>
      <c r="X40" s="2">
        <f t="shared" ca="1" si="14"/>
        <v>0</v>
      </c>
      <c r="Y40" s="2">
        <f t="shared" ca="1" si="14"/>
        <v>0</v>
      </c>
      <c r="Z40" s="2">
        <f t="shared" ca="1" si="14"/>
        <v>0</v>
      </c>
      <c r="AA40" s="2">
        <f t="shared" ca="1" si="14"/>
        <v>0</v>
      </c>
      <c r="AB40" s="2">
        <f t="shared" ca="1" si="14"/>
        <v>0</v>
      </c>
      <c r="AC40" s="2">
        <f t="shared" ca="1" si="14"/>
        <v>0</v>
      </c>
      <c r="AD40" s="2">
        <f t="shared" ca="1" si="14"/>
        <v>0</v>
      </c>
      <c r="AE40" s="2">
        <f t="shared" ca="1" si="14"/>
        <v>0</v>
      </c>
      <c r="AF40" s="2">
        <f t="shared" ca="1" si="14"/>
        <v>0</v>
      </c>
      <c r="AG40" s="2">
        <f t="shared" ca="1" si="14"/>
        <v>0</v>
      </c>
      <c r="AH40" s="2">
        <f t="shared" ca="1" si="14"/>
        <v>0</v>
      </c>
      <c r="AI40" s="2">
        <f t="shared" ca="1" si="14"/>
        <v>0</v>
      </c>
      <c r="AJ40" s="2">
        <f t="shared" ca="1" si="14"/>
        <v>0</v>
      </c>
      <c r="AK40" s="2">
        <f t="shared" ca="1" si="14"/>
        <v>0</v>
      </c>
      <c r="AL40" s="2">
        <f t="shared" ca="1" si="14"/>
        <v>0</v>
      </c>
      <c r="AM40" s="2">
        <f t="shared" ca="1" si="14"/>
        <v>0</v>
      </c>
      <c r="AN40" s="2">
        <f t="shared" ca="1" si="14"/>
        <v>0</v>
      </c>
      <c r="AO40" s="2">
        <f t="shared" ca="1" si="14"/>
        <v>0</v>
      </c>
      <c r="AP40" s="2">
        <f t="shared" ca="1" si="14"/>
        <v>0</v>
      </c>
      <c r="AQ40" s="2">
        <f t="shared" ca="1" si="14"/>
        <v>0</v>
      </c>
      <c r="AR40" s="2">
        <f t="shared" ca="1" si="14"/>
        <v>0</v>
      </c>
      <c r="AS40" s="2">
        <f t="shared" ca="1" si="14"/>
        <v>0</v>
      </c>
      <c r="AT40" s="2">
        <f t="shared" ca="1" si="14"/>
        <v>0</v>
      </c>
      <c r="AU40" s="2">
        <f t="shared" ca="1" si="14"/>
        <v>0</v>
      </c>
      <c r="AV40" s="2">
        <f t="shared" ca="1" si="14"/>
        <v>0</v>
      </c>
      <c r="AW40" s="2">
        <f t="shared" ca="1" si="14"/>
        <v>0</v>
      </c>
      <c r="AX40" s="2">
        <f t="shared" ca="1" si="14"/>
        <v>0</v>
      </c>
      <c r="AY40" s="2">
        <f t="shared" ca="1" si="14"/>
        <v>0</v>
      </c>
      <c r="AZ40" s="2">
        <f t="shared" ca="1" si="14"/>
        <v>0</v>
      </c>
      <c r="BA40" s="2">
        <f t="shared" ca="1" si="14"/>
        <v>0</v>
      </c>
      <c r="BB40" s="2">
        <f t="shared" ca="1" si="14"/>
        <v>0</v>
      </c>
      <c r="BC40" s="2">
        <f t="shared" ca="1" si="14"/>
        <v>0</v>
      </c>
      <c r="BD40" s="2">
        <f t="shared" ca="1" si="14"/>
        <v>0</v>
      </c>
      <c r="BE40" s="2">
        <f t="shared" ca="1" si="14"/>
        <v>0</v>
      </c>
      <c r="BF40" s="2">
        <f t="shared" ca="1" si="14"/>
        <v>0</v>
      </c>
      <c r="BG40" s="2">
        <f t="shared" ca="1" si="14"/>
        <v>0</v>
      </c>
      <c r="BH40" s="2">
        <f t="shared" ca="1" si="14"/>
        <v>0</v>
      </c>
      <c r="BI40" s="2">
        <f t="shared" ca="1" si="14"/>
        <v>0</v>
      </c>
      <c r="BJ40" s="2">
        <f t="shared" ca="1" si="14"/>
        <v>0</v>
      </c>
      <c r="BK40" s="2">
        <f t="shared" ca="1" si="14"/>
        <v>0</v>
      </c>
      <c r="BL40" s="2">
        <f t="shared" ca="1" si="14"/>
        <v>0</v>
      </c>
      <c r="BM40" s="2">
        <f t="shared" ca="1" si="14"/>
        <v>0</v>
      </c>
      <c r="BN40" s="2">
        <f t="shared" ca="1" si="14"/>
        <v>0</v>
      </c>
      <c r="BO40" s="2">
        <f t="shared" ca="1" si="14"/>
        <v>0</v>
      </c>
      <c r="BP40" s="2">
        <f t="shared" ca="1" si="14"/>
        <v>0</v>
      </c>
      <c r="BQ40" s="2">
        <f t="shared" ca="1" si="14"/>
        <v>0</v>
      </c>
    </row>
    <row r="41" spans="1:69" outlineLevel="1">
      <c r="E41" s="47" t="s">
        <v>22</v>
      </c>
      <c r="G41" s="47" t="s">
        <v>257</v>
      </c>
      <c r="H41" s="2">
        <f t="shared" ref="H41:H42" ca="1" si="15" xml:space="preserve"> SUM( J41:BQ41 )</f>
        <v>0</v>
      </c>
      <c r="J41" s="2">
        <f t="shared" ref="J41:BQ41" si="16" xml:space="preserve">  $F39 * J40</f>
        <v>0</v>
      </c>
      <c r="K41" s="2">
        <f t="shared" ca="1" si="16"/>
        <v>0</v>
      </c>
      <c r="L41" s="2">
        <f t="shared" ca="1" si="16"/>
        <v>0</v>
      </c>
      <c r="M41" s="2">
        <f t="shared" ca="1" si="16"/>
        <v>0</v>
      </c>
      <c r="N41" s="2">
        <f t="shared" ca="1" si="16"/>
        <v>0</v>
      </c>
      <c r="O41" s="2">
        <f t="shared" ca="1" si="16"/>
        <v>0</v>
      </c>
      <c r="P41" s="2">
        <f t="shared" ca="1" si="16"/>
        <v>0</v>
      </c>
      <c r="Q41" s="2">
        <f t="shared" ca="1" si="16"/>
        <v>0</v>
      </c>
      <c r="R41" s="2">
        <f t="shared" ca="1" si="16"/>
        <v>0</v>
      </c>
      <c r="S41" s="2">
        <f t="shared" ca="1" si="16"/>
        <v>0</v>
      </c>
      <c r="T41" s="2">
        <f t="shared" ca="1" si="16"/>
        <v>0</v>
      </c>
      <c r="U41" s="2">
        <f t="shared" ca="1" si="16"/>
        <v>0</v>
      </c>
      <c r="V41" s="2">
        <f t="shared" ca="1" si="16"/>
        <v>0</v>
      </c>
      <c r="W41" s="2">
        <f t="shared" ca="1" si="16"/>
        <v>0</v>
      </c>
      <c r="X41" s="2">
        <f t="shared" ca="1" si="16"/>
        <v>0</v>
      </c>
      <c r="Y41" s="2">
        <f t="shared" ca="1" si="16"/>
        <v>0</v>
      </c>
      <c r="Z41" s="2">
        <f t="shared" ca="1" si="16"/>
        <v>0</v>
      </c>
      <c r="AA41" s="2">
        <f t="shared" ca="1" si="16"/>
        <v>0</v>
      </c>
      <c r="AB41" s="2">
        <f t="shared" ca="1" si="16"/>
        <v>0</v>
      </c>
      <c r="AC41" s="2">
        <f t="shared" ca="1" si="16"/>
        <v>0</v>
      </c>
      <c r="AD41" s="2">
        <f t="shared" ca="1" si="16"/>
        <v>0</v>
      </c>
      <c r="AE41" s="2">
        <f t="shared" ca="1" si="16"/>
        <v>0</v>
      </c>
      <c r="AF41" s="2">
        <f t="shared" ca="1" si="16"/>
        <v>0</v>
      </c>
      <c r="AG41" s="2">
        <f t="shared" ca="1" si="16"/>
        <v>0</v>
      </c>
      <c r="AH41" s="2">
        <f t="shared" ca="1" si="16"/>
        <v>0</v>
      </c>
      <c r="AI41" s="2">
        <f t="shared" ca="1" si="16"/>
        <v>0</v>
      </c>
      <c r="AJ41" s="2">
        <f t="shared" ca="1" si="16"/>
        <v>0</v>
      </c>
      <c r="AK41" s="2">
        <f t="shared" ca="1" si="16"/>
        <v>0</v>
      </c>
      <c r="AL41" s="2">
        <f t="shared" ca="1" si="16"/>
        <v>0</v>
      </c>
      <c r="AM41" s="2">
        <f t="shared" ca="1" si="16"/>
        <v>0</v>
      </c>
      <c r="AN41" s="2">
        <f t="shared" ca="1" si="16"/>
        <v>0</v>
      </c>
      <c r="AO41" s="2">
        <f t="shared" ca="1" si="16"/>
        <v>0</v>
      </c>
      <c r="AP41" s="2">
        <f t="shared" ca="1" si="16"/>
        <v>0</v>
      </c>
      <c r="AQ41" s="2">
        <f t="shared" ca="1" si="16"/>
        <v>0</v>
      </c>
      <c r="AR41" s="2">
        <f t="shared" ca="1" si="16"/>
        <v>0</v>
      </c>
      <c r="AS41" s="2">
        <f t="shared" ca="1" si="16"/>
        <v>0</v>
      </c>
      <c r="AT41" s="2">
        <f t="shared" ca="1" si="16"/>
        <v>0</v>
      </c>
      <c r="AU41" s="2">
        <f t="shared" ca="1" si="16"/>
        <v>0</v>
      </c>
      <c r="AV41" s="2">
        <f t="shared" ca="1" si="16"/>
        <v>0</v>
      </c>
      <c r="AW41" s="2">
        <f t="shared" ca="1" si="16"/>
        <v>0</v>
      </c>
      <c r="AX41" s="2">
        <f t="shared" ca="1" si="16"/>
        <v>0</v>
      </c>
      <c r="AY41" s="2">
        <f t="shared" ca="1" si="16"/>
        <v>0</v>
      </c>
      <c r="AZ41" s="2">
        <f t="shared" ca="1" si="16"/>
        <v>0</v>
      </c>
      <c r="BA41" s="2">
        <f t="shared" ca="1" si="16"/>
        <v>0</v>
      </c>
      <c r="BB41" s="2">
        <f t="shared" ca="1" si="16"/>
        <v>0</v>
      </c>
      <c r="BC41" s="2">
        <f t="shared" ca="1" si="16"/>
        <v>0</v>
      </c>
      <c r="BD41" s="2">
        <f t="shared" ca="1" si="16"/>
        <v>0</v>
      </c>
      <c r="BE41" s="2">
        <f t="shared" ca="1" si="16"/>
        <v>0</v>
      </c>
      <c r="BF41" s="2">
        <f t="shared" ca="1" si="16"/>
        <v>0</v>
      </c>
      <c r="BG41" s="2">
        <f t="shared" ca="1" si="16"/>
        <v>0</v>
      </c>
      <c r="BH41" s="2">
        <f t="shared" ca="1" si="16"/>
        <v>0</v>
      </c>
      <c r="BI41" s="2">
        <f t="shared" ca="1" si="16"/>
        <v>0</v>
      </c>
      <c r="BJ41" s="2">
        <f t="shared" ca="1" si="16"/>
        <v>0</v>
      </c>
      <c r="BK41" s="2">
        <f t="shared" ca="1" si="16"/>
        <v>0</v>
      </c>
      <c r="BL41" s="2">
        <f t="shared" ca="1" si="16"/>
        <v>0</v>
      </c>
      <c r="BM41" s="2">
        <f t="shared" ca="1" si="16"/>
        <v>0</v>
      </c>
      <c r="BN41" s="2">
        <f t="shared" ca="1" si="16"/>
        <v>0</v>
      </c>
      <c r="BO41" s="2">
        <f t="shared" ca="1" si="16"/>
        <v>0</v>
      </c>
      <c r="BP41" s="2">
        <f t="shared" ca="1" si="16"/>
        <v>0</v>
      </c>
      <c r="BQ41" s="2">
        <f t="shared" ca="1" si="16"/>
        <v>0</v>
      </c>
    </row>
    <row r="42" spans="1:69" outlineLevel="1">
      <c r="A42" s="34"/>
      <c r="B42" s="34"/>
      <c r="C42" s="64"/>
      <c r="D42" s="65"/>
      <c r="E42" s="21" t="str">
        <f xml:space="preserve"> LEFT($E$41, LEN($E$41) - 3 )</f>
        <v xml:space="preserve">Asset Finance interest </v>
      </c>
      <c r="F42" s="21"/>
      <c r="G42" s="21" t="str">
        <f xml:space="preserve"> G$41</f>
        <v>GBP</v>
      </c>
      <c r="H42" s="3">
        <f t="shared" ca="1" si="15"/>
        <v>0</v>
      </c>
      <c r="I42" s="21"/>
      <c r="J42" s="3">
        <f t="shared" ref="J42:BQ42" si="17" xml:space="preserve"> -1 * J41</f>
        <v>0</v>
      </c>
      <c r="K42" s="3">
        <f t="shared" ca="1" si="17"/>
        <v>0</v>
      </c>
      <c r="L42" s="3">
        <f t="shared" ca="1" si="17"/>
        <v>0</v>
      </c>
      <c r="M42" s="3">
        <f t="shared" ca="1" si="17"/>
        <v>0</v>
      </c>
      <c r="N42" s="3">
        <f t="shared" ca="1" si="17"/>
        <v>0</v>
      </c>
      <c r="O42" s="3">
        <f t="shared" ca="1" si="17"/>
        <v>0</v>
      </c>
      <c r="P42" s="3">
        <f t="shared" ca="1" si="17"/>
        <v>0</v>
      </c>
      <c r="Q42" s="3">
        <f t="shared" ca="1" si="17"/>
        <v>0</v>
      </c>
      <c r="R42" s="3">
        <f t="shared" ca="1" si="17"/>
        <v>0</v>
      </c>
      <c r="S42" s="3">
        <f t="shared" ca="1" si="17"/>
        <v>0</v>
      </c>
      <c r="T42" s="3">
        <f t="shared" ca="1" si="17"/>
        <v>0</v>
      </c>
      <c r="U42" s="3">
        <f t="shared" ca="1" si="17"/>
        <v>0</v>
      </c>
      <c r="V42" s="3">
        <f t="shared" ca="1" si="17"/>
        <v>0</v>
      </c>
      <c r="W42" s="3">
        <f t="shared" ca="1" si="17"/>
        <v>0</v>
      </c>
      <c r="X42" s="3">
        <f t="shared" ca="1" si="17"/>
        <v>0</v>
      </c>
      <c r="Y42" s="3">
        <f t="shared" ca="1" si="17"/>
        <v>0</v>
      </c>
      <c r="Z42" s="3">
        <f t="shared" ca="1" si="17"/>
        <v>0</v>
      </c>
      <c r="AA42" s="3">
        <f t="shared" ca="1" si="17"/>
        <v>0</v>
      </c>
      <c r="AB42" s="3">
        <f t="shared" ca="1" si="17"/>
        <v>0</v>
      </c>
      <c r="AC42" s="3">
        <f t="shared" ca="1" si="17"/>
        <v>0</v>
      </c>
      <c r="AD42" s="3">
        <f t="shared" ca="1" si="17"/>
        <v>0</v>
      </c>
      <c r="AE42" s="3">
        <f t="shared" ca="1" si="17"/>
        <v>0</v>
      </c>
      <c r="AF42" s="3">
        <f t="shared" ca="1" si="17"/>
        <v>0</v>
      </c>
      <c r="AG42" s="3">
        <f t="shared" ca="1" si="17"/>
        <v>0</v>
      </c>
      <c r="AH42" s="3">
        <f t="shared" ca="1" si="17"/>
        <v>0</v>
      </c>
      <c r="AI42" s="3">
        <f t="shared" ca="1" si="17"/>
        <v>0</v>
      </c>
      <c r="AJ42" s="3">
        <f t="shared" ca="1" si="17"/>
        <v>0</v>
      </c>
      <c r="AK42" s="3">
        <f t="shared" ca="1" si="17"/>
        <v>0</v>
      </c>
      <c r="AL42" s="3">
        <f t="shared" ca="1" si="17"/>
        <v>0</v>
      </c>
      <c r="AM42" s="3">
        <f t="shared" ca="1" si="17"/>
        <v>0</v>
      </c>
      <c r="AN42" s="3">
        <f t="shared" ca="1" si="17"/>
        <v>0</v>
      </c>
      <c r="AO42" s="3">
        <f t="shared" ca="1" si="17"/>
        <v>0</v>
      </c>
      <c r="AP42" s="3">
        <f t="shared" ca="1" si="17"/>
        <v>0</v>
      </c>
      <c r="AQ42" s="3">
        <f t="shared" ca="1" si="17"/>
        <v>0</v>
      </c>
      <c r="AR42" s="3">
        <f t="shared" ca="1" si="17"/>
        <v>0</v>
      </c>
      <c r="AS42" s="3">
        <f t="shared" ca="1" si="17"/>
        <v>0</v>
      </c>
      <c r="AT42" s="3">
        <f t="shared" ca="1" si="17"/>
        <v>0</v>
      </c>
      <c r="AU42" s="3">
        <f t="shared" ca="1" si="17"/>
        <v>0</v>
      </c>
      <c r="AV42" s="3">
        <f t="shared" ca="1" si="17"/>
        <v>0</v>
      </c>
      <c r="AW42" s="3">
        <f t="shared" ca="1" si="17"/>
        <v>0</v>
      </c>
      <c r="AX42" s="3">
        <f t="shared" ca="1" si="17"/>
        <v>0</v>
      </c>
      <c r="AY42" s="3">
        <f t="shared" ca="1" si="17"/>
        <v>0</v>
      </c>
      <c r="AZ42" s="3">
        <f t="shared" ca="1" si="17"/>
        <v>0</v>
      </c>
      <c r="BA42" s="3">
        <f t="shared" ca="1" si="17"/>
        <v>0</v>
      </c>
      <c r="BB42" s="3">
        <f t="shared" ca="1" si="17"/>
        <v>0</v>
      </c>
      <c r="BC42" s="3">
        <f t="shared" ca="1" si="17"/>
        <v>0</v>
      </c>
      <c r="BD42" s="3">
        <f t="shared" ca="1" si="17"/>
        <v>0</v>
      </c>
      <c r="BE42" s="3">
        <f t="shared" ca="1" si="17"/>
        <v>0</v>
      </c>
      <c r="BF42" s="3">
        <f t="shared" ca="1" si="17"/>
        <v>0</v>
      </c>
      <c r="BG42" s="3">
        <f t="shared" ca="1" si="17"/>
        <v>0</v>
      </c>
      <c r="BH42" s="3">
        <f t="shared" ca="1" si="17"/>
        <v>0</v>
      </c>
      <c r="BI42" s="3">
        <f t="shared" ca="1" si="17"/>
        <v>0</v>
      </c>
      <c r="BJ42" s="3">
        <f t="shared" ca="1" si="17"/>
        <v>0</v>
      </c>
      <c r="BK42" s="3">
        <f t="shared" ca="1" si="17"/>
        <v>0</v>
      </c>
      <c r="BL42" s="3">
        <f t="shared" ca="1" si="17"/>
        <v>0</v>
      </c>
      <c r="BM42" s="3">
        <f t="shared" ca="1" si="17"/>
        <v>0</v>
      </c>
      <c r="BN42" s="3">
        <f t="shared" ca="1" si="17"/>
        <v>0</v>
      </c>
      <c r="BO42" s="3">
        <f t="shared" ca="1" si="17"/>
        <v>0</v>
      </c>
      <c r="BP42" s="3">
        <f t="shared" ca="1" si="17"/>
        <v>0</v>
      </c>
      <c r="BQ42" s="3">
        <f t="shared" ca="1" si="17"/>
        <v>0</v>
      </c>
    </row>
    <row r="45" spans="1:69">
      <c r="B45" s="25" t="s">
        <v>83</v>
      </c>
    </row>
    <row r="46" spans="1:69" outlineLevel="1">
      <c r="E46" s="2" t="str">
        <f t="shared" ref="E46:BQ46" si="18" xml:space="preserve">  E$41</f>
        <v>Asset Finance interest POS</v>
      </c>
      <c r="F46" s="2">
        <f t="shared" si="18"/>
        <v>0</v>
      </c>
      <c r="G46" s="2" t="str">
        <f t="shared" si="18"/>
        <v>GBP</v>
      </c>
      <c r="H46" s="2">
        <f t="shared" ca="1" si="18"/>
        <v>0</v>
      </c>
      <c r="I46" s="2">
        <f t="shared" si="18"/>
        <v>0</v>
      </c>
      <c r="J46" s="2">
        <f t="shared" si="18"/>
        <v>0</v>
      </c>
      <c r="K46" s="2">
        <f t="shared" ca="1" si="18"/>
        <v>0</v>
      </c>
      <c r="L46" s="2">
        <f t="shared" ca="1" si="18"/>
        <v>0</v>
      </c>
      <c r="M46" s="2">
        <f t="shared" ca="1" si="18"/>
        <v>0</v>
      </c>
      <c r="N46" s="2">
        <f t="shared" ca="1" si="18"/>
        <v>0</v>
      </c>
      <c r="O46" s="2">
        <f t="shared" ca="1" si="18"/>
        <v>0</v>
      </c>
      <c r="P46" s="2">
        <f t="shared" ca="1" si="18"/>
        <v>0</v>
      </c>
      <c r="Q46" s="2">
        <f t="shared" ca="1" si="18"/>
        <v>0</v>
      </c>
      <c r="R46" s="2">
        <f t="shared" ca="1" si="18"/>
        <v>0</v>
      </c>
      <c r="S46" s="2">
        <f t="shared" ca="1" si="18"/>
        <v>0</v>
      </c>
      <c r="T46" s="2">
        <f t="shared" ca="1" si="18"/>
        <v>0</v>
      </c>
      <c r="U46" s="2">
        <f t="shared" ca="1" si="18"/>
        <v>0</v>
      </c>
      <c r="V46" s="2">
        <f t="shared" ca="1" si="18"/>
        <v>0</v>
      </c>
      <c r="W46" s="2">
        <f t="shared" ca="1" si="18"/>
        <v>0</v>
      </c>
      <c r="X46" s="2">
        <f t="shared" ca="1" si="18"/>
        <v>0</v>
      </c>
      <c r="Y46" s="2">
        <f t="shared" ca="1" si="18"/>
        <v>0</v>
      </c>
      <c r="Z46" s="2">
        <f t="shared" ca="1" si="18"/>
        <v>0</v>
      </c>
      <c r="AA46" s="2">
        <f t="shared" ca="1" si="18"/>
        <v>0</v>
      </c>
      <c r="AB46" s="2">
        <f t="shared" ca="1" si="18"/>
        <v>0</v>
      </c>
      <c r="AC46" s="2">
        <f t="shared" ca="1" si="18"/>
        <v>0</v>
      </c>
      <c r="AD46" s="2">
        <f t="shared" ca="1" si="18"/>
        <v>0</v>
      </c>
      <c r="AE46" s="2">
        <f t="shared" ca="1" si="18"/>
        <v>0</v>
      </c>
      <c r="AF46" s="2">
        <f t="shared" ca="1" si="18"/>
        <v>0</v>
      </c>
      <c r="AG46" s="2">
        <f t="shared" ca="1" si="18"/>
        <v>0</v>
      </c>
      <c r="AH46" s="2">
        <f t="shared" ca="1" si="18"/>
        <v>0</v>
      </c>
      <c r="AI46" s="2">
        <f t="shared" ca="1" si="18"/>
        <v>0</v>
      </c>
      <c r="AJ46" s="2">
        <f t="shared" ca="1" si="18"/>
        <v>0</v>
      </c>
      <c r="AK46" s="2">
        <f t="shared" ca="1" si="18"/>
        <v>0</v>
      </c>
      <c r="AL46" s="2">
        <f t="shared" ca="1" si="18"/>
        <v>0</v>
      </c>
      <c r="AM46" s="2">
        <f t="shared" ca="1" si="18"/>
        <v>0</v>
      </c>
      <c r="AN46" s="2">
        <f t="shared" ca="1" si="18"/>
        <v>0</v>
      </c>
      <c r="AO46" s="2">
        <f t="shared" ca="1" si="18"/>
        <v>0</v>
      </c>
      <c r="AP46" s="2">
        <f t="shared" ca="1" si="18"/>
        <v>0</v>
      </c>
      <c r="AQ46" s="2">
        <f t="shared" ca="1" si="18"/>
        <v>0</v>
      </c>
      <c r="AR46" s="2">
        <f t="shared" ca="1" si="18"/>
        <v>0</v>
      </c>
      <c r="AS46" s="2">
        <f t="shared" ca="1" si="18"/>
        <v>0</v>
      </c>
      <c r="AT46" s="2">
        <f t="shared" ca="1" si="18"/>
        <v>0</v>
      </c>
      <c r="AU46" s="2">
        <f t="shared" ca="1" si="18"/>
        <v>0</v>
      </c>
      <c r="AV46" s="2">
        <f t="shared" ca="1" si="18"/>
        <v>0</v>
      </c>
      <c r="AW46" s="2">
        <f t="shared" ca="1" si="18"/>
        <v>0</v>
      </c>
      <c r="AX46" s="2">
        <f t="shared" ca="1" si="18"/>
        <v>0</v>
      </c>
      <c r="AY46" s="2">
        <f t="shared" ca="1" si="18"/>
        <v>0</v>
      </c>
      <c r="AZ46" s="2">
        <f t="shared" ca="1" si="18"/>
        <v>0</v>
      </c>
      <c r="BA46" s="2">
        <f t="shared" ca="1" si="18"/>
        <v>0</v>
      </c>
      <c r="BB46" s="2">
        <f t="shared" ca="1" si="18"/>
        <v>0</v>
      </c>
      <c r="BC46" s="2">
        <f t="shared" ca="1" si="18"/>
        <v>0</v>
      </c>
      <c r="BD46" s="2">
        <f t="shared" ca="1" si="18"/>
        <v>0</v>
      </c>
      <c r="BE46" s="2">
        <f t="shared" ca="1" si="18"/>
        <v>0</v>
      </c>
      <c r="BF46" s="2">
        <f t="shared" ca="1" si="18"/>
        <v>0</v>
      </c>
      <c r="BG46" s="2">
        <f t="shared" ca="1" si="18"/>
        <v>0</v>
      </c>
      <c r="BH46" s="2">
        <f t="shared" ca="1" si="18"/>
        <v>0</v>
      </c>
      <c r="BI46" s="2">
        <f t="shared" ca="1" si="18"/>
        <v>0</v>
      </c>
      <c r="BJ46" s="2">
        <f t="shared" ca="1" si="18"/>
        <v>0</v>
      </c>
      <c r="BK46" s="2">
        <f t="shared" ca="1" si="18"/>
        <v>0</v>
      </c>
      <c r="BL46" s="2">
        <f t="shared" ca="1" si="18"/>
        <v>0</v>
      </c>
      <c r="BM46" s="2">
        <f t="shared" ca="1" si="18"/>
        <v>0</v>
      </c>
      <c r="BN46" s="2">
        <f t="shared" ca="1" si="18"/>
        <v>0</v>
      </c>
      <c r="BO46" s="2">
        <f t="shared" ca="1" si="18"/>
        <v>0</v>
      </c>
      <c r="BP46" s="2">
        <f t="shared" ca="1" si="18"/>
        <v>0</v>
      </c>
      <c r="BQ46" s="2">
        <f t="shared" ca="1" si="18"/>
        <v>0</v>
      </c>
    </row>
    <row r="47" spans="1:69" outlineLevel="1">
      <c r="E47" s="47" t="s">
        <v>252</v>
      </c>
      <c r="G47" s="47" t="s">
        <v>257</v>
      </c>
      <c r="H47" s="2">
        <f t="shared" ref="H47:H48" ca="1" si="19" xml:space="preserve"> SUM( J47:BQ47 )</f>
        <v>0</v>
      </c>
      <c r="J47" s="2">
        <f t="shared" ref="J47:BQ47" si="20" xml:space="preserve">  J46</f>
        <v>0</v>
      </c>
      <c r="K47" s="2">
        <f t="shared" ca="1" si="20"/>
        <v>0</v>
      </c>
      <c r="L47" s="2">
        <f t="shared" ca="1" si="20"/>
        <v>0</v>
      </c>
      <c r="M47" s="2">
        <f t="shared" ca="1" si="20"/>
        <v>0</v>
      </c>
      <c r="N47" s="2">
        <f t="shared" ca="1" si="20"/>
        <v>0</v>
      </c>
      <c r="O47" s="2">
        <f t="shared" ca="1" si="20"/>
        <v>0</v>
      </c>
      <c r="P47" s="2">
        <f t="shared" ca="1" si="20"/>
        <v>0</v>
      </c>
      <c r="Q47" s="2">
        <f t="shared" ca="1" si="20"/>
        <v>0</v>
      </c>
      <c r="R47" s="2">
        <f t="shared" ca="1" si="20"/>
        <v>0</v>
      </c>
      <c r="S47" s="2">
        <f t="shared" ca="1" si="20"/>
        <v>0</v>
      </c>
      <c r="T47" s="2">
        <f t="shared" ca="1" si="20"/>
        <v>0</v>
      </c>
      <c r="U47" s="2">
        <f t="shared" ca="1" si="20"/>
        <v>0</v>
      </c>
      <c r="V47" s="2">
        <f t="shared" ca="1" si="20"/>
        <v>0</v>
      </c>
      <c r="W47" s="2">
        <f t="shared" ca="1" si="20"/>
        <v>0</v>
      </c>
      <c r="X47" s="2">
        <f t="shared" ca="1" si="20"/>
        <v>0</v>
      </c>
      <c r="Y47" s="2">
        <f t="shared" ca="1" si="20"/>
        <v>0</v>
      </c>
      <c r="Z47" s="2">
        <f t="shared" ca="1" si="20"/>
        <v>0</v>
      </c>
      <c r="AA47" s="2">
        <f t="shared" ca="1" si="20"/>
        <v>0</v>
      </c>
      <c r="AB47" s="2">
        <f t="shared" ca="1" si="20"/>
        <v>0</v>
      </c>
      <c r="AC47" s="2">
        <f t="shared" ca="1" si="20"/>
        <v>0</v>
      </c>
      <c r="AD47" s="2">
        <f t="shared" ca="1" si="20"/>
        <v>0</v>
      </c>
      <c r="AE47" s="2">
        <f t="shared" ca="1" si="20"/>
        <v>0</v>
      </c>
      <c r="AF47" s="2">
        <f t="shared" ca="1" si="20"/>
        <v>0</v>
      </c>
      <c r="AG47" s="2">
        <f t="shared" ca="1" si="20"/>
        <v>0</v>
      </c>
      <c r="AH47" s="2">
        <f t="shared" ca="1" si="20"/>
        <v>0</v>
      </c>
      <c r="AI47" s="2">
        <f t="shared" ca="1" si="20"/>
        <v>0</v>
      </c>
      <c r="AJ47" s="2">
        <f t="shared" ca="1" si="20"/>
        <v>0</v>
      </c>
      <c r="AK47" s="2">
        <f t="shared" ca="1" si="20"/>
        <v>0</v>
      </c>
      <c r="AL47" s="2">
        <f t="shared" ca="1" si="20"/>
        <v>0</v>
      </c>
      <c r="AM47" s="2">
        <f t="shared" ca="1" si="20"/>
        <v>0</v>
      </c>
      <c r="AN47" s="2">
        <f t="shared" ca="1" si="20"/>
        <v>0</v>
      </c>
      <c r="AO47" s="2">
        <f t="shared" ca="1" si="20"/>
        <v>0</v>
      </c>
      <c r="AP47" s="2">
        <f t="shared" ca="1" si="20"/>
        <v>0</v>
      </c>
      <c r="AQ47" s="2">
        <f t="shared" ca="1" si="20"/>
        <v>0</v>
      </c>
      <c r="AR47" s="2">
        <f t="shared" ca="1" si="20"/>
        <v>0</v>
      </c>
      <c r="AS47" s="2">
        <f t="shared" ca="1" si="20"/>
        <v>0</v>
      </c>
      <c r="AT47" s="2">
        <f t="shared" ca="1" si="20"/>
        <v>0</v>
      </c>
      <c r="AU47" s="2">
        <f t="shared" ca="1" si="20"/>
        <v>0</v>
      </c>
      <c r="AV47" s="2">
        <f t="shared" ca="1" si="20"/>
        <v>0</v>
      </c>
      <c r="AW47" s="2">
        <f t="shared" ca="1" si="20"/>
        <v>0</v>
      </c>
      <c r="AX47" s="2">
        <f t="shared" ca="1" si="20"/>
        <v>0</v>
      </c>
      <c r="AY47" s="2">
        <f t="shared" ca="1" si="20"/>
        <v>0</v>
      </c>
      <c r="AZ47" s="2">
        <f t="shared" ca="1" si="20"/>
        <v>0</v>
      </c>
      <c r="BA47" s="2">
        <f t="shared" ca="1" si="20"/>
        <v>0</v>
      </c>
      <c r="BB47" s="2">
        <f t="shared" ca="1" si="20"/>
        <v>0</v>
      </c>
      <c r="BC47" s="2">
        <f t="shared" ca="1" si="20"/>
        <v>0</v>
      </c>
      <c r="BD47" s="2">
        <f t="shared" ca="1" si="20"/>
        <v>0</v>
      </c>
      <c r="BE47" s="2">
        <f t="shared" ca="1" si="20"/>
        <v>0</v>
      </c>
      <c r="BF47" s="2">
        <f t="shared" ca="1" si="20"/>
        <v>0</v>
      </c>
      <c r="BG47" s="2">
        <f t="shared" ca="1" si="20"/>
        <v>0</v>
      </c>
      <c r="BH47" s="2">
        <f t="shared" ca="1" si="20"/>
        <v>0</v>
      </c>
      <c r="BI47" s="2">
        <f t="shared" ca="1" si="20"/>
        <v>0</v>
      </c>
      <c r="BJ47" s="2">
        <f t="shared" ca="1" si="20"/>
        <v>0</v>
      </c>
      <c r="BK47" s="2">
        <f t="shared" ca="1" si="20"/>
        <v>0</v>
      </c>
      <c r="BL47" s="2">
        <f t="shared" ca="1" si="20"/>
        <v>0</v>
      </c>
      <c r="BM47" s="2">
        <f t="shared" ca="1" si="20"/>
        <v>0</v>
      </c>
      <c r="BN47" s="2">
        <f t="shared" ca="1" si="20"/>
        <v>0</v>
      </c>
      <c r="BO47" s="2">
        <f t="shared" ca="1" si="20"/>
        <v>0</v>
      </c>
      <c r="BP47" s="2">
        <f t="shared" ca="1" si="20"/>
        <v>0</v>
      </c>
      <c r="BQ47" s="2">
        <f t="shared" ca="1" si="20"/>
        <v>0</v>
      </c>
    </row>
    <row r="48" spans="1:69" outlineLevel="1">
      <c r="A48" s="34"/>
      <c r="B48" s="34"/>
      <c r="C48" s="64"/>
      <c r="D48" s="65"/>
      <c r="E48" s="21" t="str">
        <f xml:space="preserve"> LEFT($E$47, LEN($E$47) - 3 )</f>
        <v xml:space="preserve">Asset Finance interest paid </v>
      </c>
      <c r="F48" s="21"/>
      <c r="G48" s="21" t="str">
        <f xml:space="preserve"> G$47</f>
        <v>GBP</v>
      </c>
      <c r="H48" s="3">
        <f t="shared" ca="1" si="19"/>
        <v>0</v>
      </c>
      <c r="I48" s="21"/>
      <c r="J48" s="3">
        <f t="shared" ref="J48:BQ48" si="21" xml:space="preserve"> -1 * J47</f>
        <v>0</v>
      </c>
      <c r="K48" s="3">
        <f t="shared" ca="1" si="21"/>
        <v>0</v>
      </c>
      <c r="L48" s="3">
        <f t="shared" ca="1" si="21"/>
        <v>0</v>
      </c>
      <c r="M48" s="3">
        <f t="shared" ca="1" si="21"/>
        <v>0</v>
      </c>
      <c r="N48" s="3">
        <f t="shared" ca="1" si="21"/>
        <v>0</v>
      </c>
      <c r="O48" s="3">
        <f t="shared" ca="1" si="21"/>
        <v>0</v>
      </c>
      <c r="P48" s="3">
        <f t="shared" ca="1" si="21"/>
        <v>0</v>
      </c>
      <c r="Q48" s="3">
        <f t="shared" ca="1" si="21"/>
        <v>0</v>
      </c>
      <c r="R48" s="3">
        <f t="shared" ca="1" si="21"/>
        <v>0</v>
      </c>
      <c r="S48" s="3">
        <f t="shared" ca="1" si="21"/>
        <v>0</v>
      </c>
      <c r="T48" s="3">
        <f t="shared" ca="1" si="21"/>
        <v>0</v>
      </c>
      <c r="U48" s="3">
        <f t="shared" ca="1" si="21"/>
        <v>0</v>
      </c>
      <c r="V48" s="3">
        <f t="shared" ca="1" si="21"/>
        <v>0</v>
      </c>
      <c r="W48" s="3">
        <f t="shared" ca="1" si="21"/>
        <v>0</v>
      </c>
      <c r="X48" s="3">
        <f t="shared" ca="1" si="21"/>
        <v>0</v>
      </c>
      <c r="Y48" s="3">
        <f t="shared" ca="1" si="21"/>
        <v>0</v>
      </c>
      <c r="Z48" s="3">
        <f t="shared" ca="1" si="21"/>
        <v>0</v>
      </c>
      <c r="AA48" s="3">
        <f t="shared" ca="1" si="21"/>
        <v>0</v>
      </c>
      <c r="AB48" s="3">
        <f t="shared" ca="1" si="21"/>
        <v>0</v>
      </c>
      <c r="AC48" s="3">
        <f t="shared" ca="1" si="21"/>
        <v>0</v>
      </c>
      <c r="AD48" s="3">
        <f t="shared" ca="1" si="21"/>
        <v>0</v>
      </c>
      <c r="AE48" s="3">
        <f t="shared" ca="1" si="21"/>
        <v>0</v>
      </c>
      <c r="AF48" s="3">
        <f t="shared" ca="1" si="21"/>
        <v>0</v>
      </c>
      <c r="AG48" s="3">
        <f t="shared" ca="1" si="21"/>
        <v>0</v>
      </c>
      <c r="AH48" s="3">
        <f t="shared" ca="1" si="21"/>
        <v>0</v>
      </c>
      <c r="AI48" s="3">
        <f t="shared" ca="1" si="21"/>
        <v>0</v>
      </c>
      <c r="AJ48" s="3">
        <f t="shared" ca="1" si="21"/>
        <v>0</v>
      </c>
      <c r="AK48" s="3">
        <f t="shared" ca="1" si="21"/>
        <v>0</v>
      </c>
      <c r="AL48" s="3">
        <f t="shared" ca="1" si="21"/>
        <v>0</v>
      </c>
      <c r="AM48" s="3">
        <f t="shared" ca="1" si="21"/>
        <v>0</v>
      </c>
      <c r="AN48" s="3">
        <f t="shared" ca="1" si="21"/>
        <v>0</v>
      </c>
      <c r="AO48" s="3">
        <f t="shared" ca="1" si="21"/>
        <v>0</v>
      </c>
      <c r="AP48" s="3">
        <f t="shared" ca="1" si="21"/>
        <v>0</v>
      </c>
      <c r="AQ48" s="3">
        <f t="shared" ca="1" si="21"/>
        <v>0</v>
      </c>
      <c r="AR48" s="3">
        <f t="shared" ca="1" si="21"/>
        <v>0</v>
      </c>
      <c r="AS48" s="3">
        <f t="shared" ca="1" si="21"/>
        <v>0</v>
      </c>
      <c r="AT48" s="3">
        <f t="shared" ca="1" si="21"/>
        <v>0</v>
      </c>
      <c r="AU48" s="3">
        <f t="shared" ca="1" si="21"/>
        <v>0</v>
      </c>
      <c r="AV48" s="3">
        <f t="shared" ca="1" si="21"/>
        <v>0</v>
      </c>
      <c r="AW48" s="3">
        <f t="shared" ca="1" si="21"/>
        <v>0</v>
      </c>
      <c r="AX48" s="3">
        <f t="shared" ca="1" si="21"/>
        <v>0</v>
      </c>
      <c r="AY48" s="3">
        <f t="shared" ca="1" si="21"/>
        <v>0</v>
      </c>
      <c r="AZ48" s="3">
        <f t="shared" ca="1" si="21"/>
        <v>0</v>
      </c>
      <c r="BA48" s="3">
        <f t="shared" ca="1" si="21"/>
        <v>0</v>
      </c>
      <c r="BB48" s="3">
        <f t="shared" ca="1" si="21"/>
        <v>0</v>
      </c>
      <c r="BC48" s="3">
        <f t="shared" ca="1" si="21"/>
        <v>0</v>
      </c>
      <c r="BD48" s="3">
        <f t="shared" ca="1" si="21"/>
        <v>0</v>
      </c>
      <c r="BE48" s="3">
        <f t="shared" ca="1" si="21"/>
        <v>0</v>
      </c>
      <c r="BF48" s="3">
        <f t="shared" ca="1" si="21"/>
        <v>0</v>
      </c>
      <c r="BG48" s="3">
        <f t="shared" ca="1" si="21"/>
        <v>0</v>
      </c>
      <c r="BH48" s="3">
        <f t="shared" ca="1" si="21"/>
        <v>0</v>
      </c>
      <c r="BI48" s="3">
        <f t="shared" ca="1" si="21"/>
        <v>0</v>
      </c>
      <c r="BJ48" s="3">
        <f t="shared" ca="1" si="21"/>
        <v>0</v>
      </c>
      <c r="BK48" s="3">
        <f t="shared" ca="1" si="21"/>
        <v>0</v>
      </c>
      <c r="BL48" s="3">
        <f t="shared" ca="1" si="21"/>
        <v>0</v>
      </c>
      <c r="BM48" s="3">
        <f t="shared" ca="1" si="21"/>
        <v>0</v>
      </c>
      <c r="BN48" s="3">
        <f t="shared" ca="1" si="21"/>
        <v>0</v>
      </c>
      <c r="BO48" s="3">
        <f t="shared" ca="1" si="21"/>
        <v>0</v>
      </c>
      <c r="BP48" s="3">
        <f t="shared" ca="1" si="21"/>
        <v>0</v>
      </c>
      <c r="BQ48" s="3">
        <f t="shared" ca="1" si="21"/>
        <v>0</v>
      </c>
    </row>
    <row r="51" spans="1:13">
      <c r="B51" s="25" t="s">
        <v>247</v>
      </c>
    </row>
    <row r="52" spans="1:13" outlineLevel="1">
      <c r="A52" s="18"/>
      <c r="B52" s="18"/>
      <c r="C52" s="28"/>
      <c r="D52" s="27"/>
      <c r="E52" s="43" t="str">
        <f xml:space="preserve">  InpC!E$77</f>
        <v>All in Trade finance annual interest rate</v>
      </c>
      <c r="F52" s="43">
        <f xml:space="preserve">  InpC!F$77</f>
        <v>0.08</v>
      </c>
      <c r="G52" s="43" t="str">
        <f xml:space="preserve">  InpC!G$77</f>
        <v>%</v>
      </c>
      <c r="M52" s="57"/>
    </row>
    <row r="53" spans="1:13" outlineLevel="1">
      <c r="A53" s="18"/>
      <c r="B53" s="18"/>
      <c r="C53" s="28"/>
      <c r="D53" s="27"/>
      <c r="E53" s="4" t="str">
        <f xml:space="preserve">  InpC!E$58</f>
        <v>debt day count convention</v>
      </c>
      <c r="F53" s="4">
        <f xml:space="preserve">  InpC!F$58</f>
        <v>360</v>
      </c>
      <c r="G53" s="4" t="str">
        <f xml:space="preserve">  InpC!G$58</f>
        <v>day</v>
      </c>
      <c r="M53" s="2"/>
    </row>
    <row r="54" spans="1:13" outlineLevel="1">
      <c r="A54" s="18"/>
      <c r="B54" s="18"/>
      <c r="C54" s="28"/>
      <c r="D54" s="27"/>
      <c r="E54" s="4" t="str">
        <f xml:space="preserve">  InpC!E$57</f>
        <v>Days in period</v>
      </c>
      <c r="F54" s="4">
        <f xml:space="preserve">  InpC!F$57</f>
        <v>30</v>
      </c>
      <c r="G54" s="4" t="str">
        <f xml:space="preserve">  InpC!G$57</f>
        <v>day</v>
      </c>
      <c r="M54" s="2"/>
    </row>
    <row r="55" spans="1:13" outlineLevel="1">
      <c r="E55" s="47" t="s">
        <v>247</v>
      </c>
      <c r="F55" s="57">
        <f xml:space="preserve">  $F52 / $F53 * $F54</f>
        <v>6.6666666666666671E-3</v>
      </c>
      <c r="G55" s="47" t="s">
        <v>209</v>
      </c>
      <c r="M55" s="57"/>
    </row>
    <row r="58" spans="1:13">
      <c r="B58" s="25" t="s">
        <v>271</v>
      </c>
    </row>
  </sheetData>
  <conditionalFormatting sqref="F2:F3">
    <cfRule type="cellIs" dxfId="182" priority="1" stopIfTrue="1" operator="notEqual">
      <formula>0</formula>
    </cfRule>
    <cfRule type="cellIs" dxfId="181" priority="2" stopIfTrue="1" operator="equal">
      <formula>""</formula>
    </cfRule>
  </conditionalFormatting>
  <conditionalFormatting sqref="J3:BQ3">
    <cfRule type="cellIs" dxfId="180" priority="8" operator="equal">
      <formula>"PPA ext."</formula>
    </cfRule>
    <cfRule type="cellIs" dxfId="179" priority="9" operator="equal">
      <formula>"Delay"</formula>
    </cfRule>
    <cfRule type="cellIs" dxfId="178" priority="10" operator="equal">
      <formula>"Fin Close"</formula>
    </cfRule>
    <cfRule type="cellIs" dxfId="177" priority="11" stopIfTrue="1" operator="equal">
      <formula>"Construction"</formula>
    </cfRule>
    <cfRule type="cellIs" dxfId="17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outlinePr summaryBelow="0" summaryRight="0"/>
  </sheetPr>
  <dimension ref="A1:BQ5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4" customWidth="1"/>
    <col min="5" max="5" width="46.5546875" style="47" bestFit="1" customWidth="1"/>
    <col min="6" max="6" width="20.5546875" style="47" bestFit="1" customWidth="1"/>
    <col min="7" max="7" width="13.21875" style="47" bestFit="1" customWidth="1"/>
    <col min="8" max="8" width="15.109375" style="47"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2.44140625" style="47" bestFit="1" customWidth="1"/>
    <col min="25" max="25" width="12.33203125" style="47" bestFit="1" customWidth="1"/>
    <col min="26" max="26" width="12.21875" style="47" bestFit="1" customWidth="1"/>
    <col min="27" max="27" width="12.4414062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2.44140625" style="47" bestFit="1" customWidth="1"/>
    <col min="34" max="34" width="12.33203125" style="47" bestFit="1" customWidth="1"/>
    <col min="35" max="35" width="12.109375" style="47" bestFit="1" customWidth="1"/>
    <col min="36" max="36" width="12.44140625" style="47" bestFit="1" customWidth="1"/>
    <col min="37" max="37" width="12.33203125" style="47" bestFit="1" customWidth="1"/>
    <col min="38" max="38" width="12.21875" style="47" bestFit="1" customWidth="1"/>
    <col min="39" max="39" width="12.44140625" style="47" bestFit="1" customWidth="1"/>
    <col min="40" max="40" width="12.33203125" style="47" bestFit="1" customWidth="1"/>
    <col min="41" max="41" width="12.21875" style="47" bestFit="1" customWidth="1"/>
    <col min="42" max="42" width="12.44140625" style="47" bestFit="1" customWidth="1"/>
    <col min="43" max="43" width="12.109375" style="47" bestFit="1" customWidth="1"/>
    <col min="44" max="44" width="12" style="47" bestFit="1" customWidth="1"/>
    <col min="45" max="45" width="12.44140625" style="47" bestFit="1" customWidth="1"/>
    <col min="46" max="46" width="13.21875" style="47" bestFit="1" customWidth="1"/>
    <col min="47" max="47" width="12.109375" style="47" bestFit="1" customWidth="1"/>
    <col min="48" max="59" width="13.21875" style="47" bestFit="1" customWidth="1"/>
    <col min="60" max="60" width="13.88671875" style="47" bestFit="1" customWidth="1"/>
    <col min="61" max="62" width="13.21875" style="47" bestFit="1" customWidth="1"/>
    <col min="63" max="63" width="13.88671875" style="47" bestFit="1" customWidth="1"/>
    <col min="64" max="65" width="13.21875" style="47" bestFit="1" customWidth="1"/>
    <col min="66" max="66" width="13.88671875" style="47" bestFit="1" customWidth="1"/>
    <col min="67" max="68" width="13.21875" style="47" bestFit="1" customWidth="1"/>
    <col min="69" max="69" width="13.8867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VAT</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347</v>
      </c>
    </row>
    <row r="9" spans="1:69" outlineLevel="1">
      <c r="A9" s="18"/>
      <c r="B9" s="18"/>
      <c r="C9" s="28"/>
      <c r="D9" s="27"/>
      <c r="E9" s="4" t="str">
        <f xml:space="preserve">  Inventory!E$11</f>
        <v>VAT on inventory</v>
      </c>
      <c r="F9" s="4">
        <f xml:space="preserve">  Inventory!F$11</f>
        <v>0</v>
      </c>
      <c r="G9" s="4" t="str">
        <f xml:space="preserve">  Inventory!G$11</f>
        <v>GBP</v>
      </c>
      <c r="H9" s="4">
        <f ca="1" xml:space="preserve">  Inventory!H$11</f>
        <v>11550000</v>
      </c>
      <c r="I9" s="4">
        <f xml:space="preserve">  Inventory!I$11</f>
        <v>0</v>
      </c>
      <c r="J9" s="4">
        <f xml:space="preserve">  Inventory!J$11</f>
        <v>0</v>
      </c>
      <c r="K9" s="4">
        <f xml:space="preserve">  Inventory!K$11</f>
        <v>0</v>
      </c>
      <c r="L9" s="4">
        <f xml:space="preserve">  Inventory!L$11</f>
        <v>70000</v>
      </c>
      <c r="M9" s="4">
        <f xml:space="preserve">  Inventory!M$11</f>
        <v>70000</v>
      </c>
      <c r="N9" s="4">
        <f xml:space="preserve">  Inventory!N$11</f>
        <v>70000</v>
      </c>
      <c r="O9" s="4">
        <f xml:space="preserve">  Inventory!O$11</f>
        <v>0</v>
      </c>
      <c r="P9" s="4">
        <f xml:space="preserve">  Inventory!P$11</f>
        <v>70000</v>
      </c>
      <c r="Q9" s="4">
        <f xml:space="preserve">  Inventory!Q$11</f>
        <v>0</v>
      </c>
      <c r="R9" s="4">
        <f xml:space="preserve">  Inventory!R$11</f>
        <v>70000</v>
      </c>
      <c r="S9" s="4">
        <f xml:space="preserve">  Inventory!S$11</f>
        <v>0</v>
      </c>
      <c r="T9" s="4">
        <f xml:space="preserve">  Inventory!T$11</f>
        <v>0</v>
      </c>
      <c r="U9" s="4">
        <f xml:space="preserve">  Inventory!U$11</f>
        <v>0</v>
      </c>
      <c r="V9" s="4">
        <f ca="1" xml:space="preserve">  Inventory!V$11</f>
        <v>0</v>
      </c>
      <c r="W9" s="4">
        <f ca="1" xml:space="preserve">  Inventory!W$11</f>
        <v>0</v>
      </c>
      <c r="X9" s="4">
        <f ca="1" xml:space="preserve">  Inventory!X$11</f>
        <v>35000</v>
      </c>
      <c r="Y9" s="4">
        <f ca="1" xml:space="preserve">  Inventory!Y$11</f>
        <v>35000</v>
      </c>
      <c r="Z9" s="4">
        <f ca="1" xml:space="preserve">  Inventory!Z$11</f>
        <v>35000</v>
      </c>
      <c r="AA9" s="4">
        <f ca="1" xml:space="preserve">  Inventory!AA$11</f>
        <v>70000</v>
      </c>
      <c r="AB9" s="4">
        <f ca="1" xml:space="preserve">  Inventory!AB$11</f>
        <v>35000</v>
      </c>
      <c r="AC9" s="4">
        <f ca="1" xml:space="preserve">  Inventory!AC$11</f>
        <v>70000</v>
      </c>
      <c r="AD9" s="4">
        <f ca="1" xml:space="preserve">  Inventory!AD$11</f>
        <v>35000</v>
      </c>
      <c r="AE9" s="4">
        <f ca="1" xml:space="preserve">  Inventory!AE$11</f>
        <v>70000</v>
      </c>
      <c r="AF9" s="4">
        <f ca="1" xml:space="preserve">  Inventory!AF$11</f>
        <v>70000</v>
      </c>
      <c r="AG9" s="4">
        <f ca="1" xml:space="preserve">  Inventory!AG$11</f>
        <v>70000</v>
      </c>
      <c r="AH9" s="4">
        <f ca="1" xml:space="preserve">  Inventory!AH$11</f>
        <v>70000</v>
      </c>
      <c r="AI9" s="4">
        <f ca="1" xml:space="preserve">  Inventory!AI$11</f>
        <v>105000</v>
      </c>
      <c r="AJ9" s="4">
        <f ca="1" xml:space="preserve">  Inventory!AJ$11</f>
        <v>70000</v>
      </c>
      <c r="AK9" s="4">
        <f ca="1" xml:space="preserve">  Inventory!AK$11</f>
        <v>105000</v>
      </c>
      <c r="AL9" s="4">
        <f ca="1" xml:space="preserve">  Inventory!AL$11</f>
        <v>105000</v>
      </c>
      <c r="AM9" s="4">
        <f ca="1" xml:space="preserve">  Inventory!AM$11</f>
        <v>140000</v>
      </c>
      <c r="AN9" s="4">
        <f ca="1" xml:space="preserve">  Inventory!AN$11</f>
        <v>105000</v>
      </c>
      <c r="AO9" s="4">
        <f ca="1" xml:space="preserve">  Inventory!AO$11</f>
        <v>140000</v>
      </c>
      <c r="AP9" s="4">
        <f ca="1" xml:space="preserve">  Inventory!AP$11</f>
        <v>175000</v>
      </c>
      <c r="AQ9" s="4">
        <f ca="1" xml:space="preserve">  Inventory!AQ$11</f>
        <v>140000</v>
      </c>
      <c r="AR9" s="4">
        <f ca="1" xml:space="preserve">  Inventory!AR$11</f>
        <v>175000</v>
      </c>
      <c r="AS9" s="4">
        <f ca="1" xml:space="preserve">  Inventory!AS$11</f>
        <v>175000</v>
      </c>
      <c r="AT9" s="4">
        <f ca="1" xml:space="preserve">  Inventory!AT$11</f>
        <v>175000</v>
      </c>
      <c r="AU9" s="4">
        <f ca="1" xml:space="preserve">  Inventory!AU$11</f>
        <v>175000</v>
      </c>
      <c r="AV9" s="4">
        <f ca="1" xml:space="preserve">  Inventory!AV$11</f>
        <v>210000</v>
      </c>
      <c r="AW9" s="4">
        <f ca="1" xml:space="preserve">  Inventory!AW$11</f>
        <v>210000</v>
      </c>
      <c r="AX9" s="4">
        <f ca="1" xml:space="preserve">  Inventory!AX$11</f>
        <v>245000</v>
      </c>
      <c r="AY9" s="4">
        <f ca="1" xml:space="preserve">  Inventory!AY$11</f>
        <v>245000</v>
      </c>
      <c r="AZ9" s="4">
        <f ca="1" xml:space="preserve">  Inventory!AZ$11</f>
        <v>245000</v>
      </c>
      <c r="BA9" s="4">
        <f ca="1" xml:space="preserve">  Inventory!BA$11</f>
        <v>280000</v>
      </c>
      <c r="BB9" s="4">
        <f ca="1" xml:space="preserve">  Inventory!BB$11</f>
        <v>280000</v>
      </c>
      <c r="BC9" s="4">
        <f ca="1" xml:space="preserve">  Inventory!BC$11</f>
        <v>315000</v>
      </c>
      <c r="BD9" s="4">
        <f ca="1" xml:space="preserve">  Inventory!BD$11</f>
        <v>315000</v>
      </c>
      <c r="BE9" s="4">
        <f ca="1" xml:space="preserve">  Inventory!BE$11</f>
        <v>350000</v>
      </c>
      <c r="BF9" s="4">
        <f ca="1" xml:space="preserve">  Inventory!BF$11</f>
        <v>350000</v>
      </c>
      <c r="BG9" s="4">
        <f ca="1" xml:space="preserve">  Inventory!BG$11</f>
        <v>385000</v>
      </c>
      <c r="BH9" s="4">
        <f ca="1" xml:space="preserve">  Inventory!BH$11</f>
        <v>420000</v>
      </c>
      <c r="BI9" s="4">
        <f ca="1" xml:space="preserve">  Inventory!BI$11</f>
        <v>420000</v>
      </c>
      <c r="BJ9" s="4">
        <f ca="1" xml:space="preserve">  Inventory!BJ$11</f>
        <v>455000</v>
      </c>
      <c r="BK9" s="4">
        <f ca="1" xml:space="preserve">  Inventory!BK$11</f>
        <v>490000</v>
      </c>
      <c r="BL9" s="4">
        <f ca="1" xml:space="preserve">  Inventory!BL$11</f>
        <v>525000</v>
      </c>
      <c r="BM9" s="4">
        <f ca="1" xml:space="preserve">  Inventory!BM$11</f>
        <v>525000</v>
      </c>
      <c r="BN9" s="4">
        <f ca="1" xml:space="preserve">  Inventory!BN$11</f>
        <v>595000</v>
      </c>
      <c r="BO9" s="4">
        <f ca="1" xml:space="preserve">  Inventory!BO$11</f>
        <v>595000</v>
      </c>
      <c r="BP9" s="4">
        <f ca="1" xml:space="preserve">  Inventory!BP$11</f>
        <v>665000</v>
      </c>
      <c r="BQ9" s="4">
        <f ca="1" xml:space="preserve">  Inventory!BQ$11</f>
        <v>700000</v>
      </c>
    </row>
    <row r="10" spans="1:69" outlineLevel="1">
      <c r="A10" s="18"/>
      <c r="B10" s="18"/>
      <c r="C10" s="28"/>
      <c r="D10" s="27"/>
      <c r="E10" s="4" t="str">
        <f xml:space="preserve">  Expense!E$13</f>
        <v>VAT on operating expense</v>
      </c>
      <c r="F10" s="4">
        <f xml:space="preserve">  Expense!F$13</f>
        <v>0</v>
      </c>
      <c r="G10" s="4" t="str">
        <f xml:space="preserve">  Expense!G$13</f>
        <v>GBP</v>
      </c>
      <c r="H10" s="4">
        <f ca="1" xml:space="preserve">  Expense!H$13</f>
        <v>7115824.4634284526</v>
      </c>
      <c r="I10" s="4">
        <f xml:space="preserve">  Expense!I$13</f>
        <v>0</v>
      </c>
      <c r="J10" s="4">
        <f ca="1" xml:space="preserve">  Expense!J$13</f>
        <v>6700</v>
      </c>
      <c r="K10" s="4">
        <f ca="1" xml:space="preserve">  Expense!K$13</f>
        <v>6700</v>
      </c>
      <c r="L10" s="4">
        <f ca="1" xml:space="preserve">  Expense!L$13</f>
        <v>6700</v>
      </c>
      <c r="M10" s="4">
        <f ca="1" xml:space="preserve">  Expense!M$13</f>
        <v>6760.7856851345514</v>
      </c>
      <c r="N10" s="4">
        <f ca="1" xml:space="preserve">  Expense!N$13</f>
        <v>15160.785685134551</v>
      </c>
      <c r="O10" s="4">
        <f ca="1" xml:space="preserve">  Expense!O$13</f>
        <v>15160.785685134551</v>
      </c>
      <c r="P10" s="4">
        <f ca="1" xml:space="preserve">  Expense!P$13</f>
        <v>15223.049330076014</v>
      </c>
      <c r="Q10" s="4">
        <f ca="1" xml:space="preserve">  Expense!Q$13</f>
        <v>23623.049330076014</v>
      </c>
      <c r="R10" s="4">
        <f ca="1" xml:space="preserve">  Expense!R$13</f>
        <v>23623.049330076014</v>
      </c>
      <c r="S10" s="4">
        <f ca="1" xml:space="preserve">  Expense!S$13</f>
        <v>23686.826870344172</v>
      </c>
      <c r="T10" s="4">
        <f ca="1" xml:space="preserve">  Expense!T$13</f>
        <v>23686.826870344172</v>
      </c>
      <c r="U10" s="4">
        <f ca="1" xml:space="preserve">  Expense!U$13</f>
        <v>23686.826870344172</v>
      </c>
      <c r="V10" s="4">
        <f ca="1" xml:space="preserve">  Expense!V$13</f>
        <v>24998.724981545205</v>
      </c>
      <c r="W10" s="4">
        <f ca="1" xml:space="preserve">  Expense!W$13</f>
        <v>26321.70301449683</v>
      </c>
      <c r="X10" s="4">
        <f ca="1" xml:space="preserve">  Expense!X$13</f>
        <v>27723.34941505715</v>
      </c>
      <c r="Y10" s="4">
        <f ca="1" xml:space="preserve">  Expense!Y$13</f>
        <v>29275.481014173223</v>
      </c>
      <c r="Z10" s="4">
        <f ca="1" xml:space="preserve">  Expense!Z$13</f>
        <v>30848.775903951599</v>
      </c>
      <c r="AA10" s="4">
        <f ca="1" xml:space="preserve">  Expense!AA$13</f>
        <v>32515.623776215874</v>
      </c>
      <c r="AB10" s="4">
        <f ca="1" xml:space="preserve">  Expense!AB$13</f>
        <v>34349.989438470118</v>
      </c>
      <c r="AC10" s="4">
        <f ca="1" xml:space="preserve">  Expense!AC$13</f>
        <v>36220.962915392003</v>
      </c>
      <c r="AD10" s="4">
        <f ca="1" xml:space="preserve">  Expense!AD$13</f>
        <v>38203.190264715828</v>
      </c>
      <c r="AE10" s="4">
        <f ca="1" xml:space="preserve">  Expense!AE$13</f>
        <v>40373.575422911701</v>
      </c>
      <c r="AF10" s="4">
        <f ca="1" xml:space="preserve">  Expense!AF$13</f>
        <v>42598.550393648562</v>
      </c>
      <c r="AG10" s="4">
        <f ca="1" xml:space="preserve">  Expense!AG$13</f>
        <v>44955.829261017439</v>
      </c>
      <c r="AH10" s="4">
        <f ca="1" xml:space="preserve">  Expense!AH$13</f>
        <v>51302.713034103544</v>
      </c>
      <c r="AI10" s="4">
        <f ca="1" xml:space="preserve">  Expense!AI$13</f>
        <v>53948.669100006809</v>
      </c>
      <c r="AJ10" s="4">
        <f ca="1" xml:space="preserve">  Expense!AJ$13</f>
        <v>56751.961901127434</v>
      </c>
      <c r="AK10" s="4">
        <f ca="1" xml:space="preserve">  Expense!AK$13</f>
        <v>59795.436319233886</v>
      </c>
      <c r="AL10" s="4">
        <f ca="1" xml:space="preserve">  Expense!AL$13</f>
        <v>70502.02609879068</v>
      </c>
      <c r="AM10" s="4">
        <f ca="1" xml:space="preserve">  Expense!AM$13</f>
        <v>73835.721843319232</v>
      </c>
      <c r="AN10" s="4">
        <f ca="1" xml:space="preserve">  Expense!AN$13</f>
        <v>77442.92379053554</v>
      </c>
      <c r="AO10" s="4">
        <f ca="1" xml:space="preserve">  Expense!AO$13</f>
        <v>88744.870744379296</v>
      </c>
      <c r="AP10" s="4">
        <f ca="1" xml:space="preserve">  Expense!AP$13</f>
        <v>92709.325443026915</v>
      </c>
      <c r="AQ10" s="4">
        <f ca="1" xml:space="preserve">  Expense!AQ$13</f>
        <v>96986.816649019413</v>
      </c>
      <c r="AR10" s="4">
        <f ca="1" xml:space="preserve">  Expense!AR$13</f>
        <v>101436.76659049315</v>
      </c>
      <c r="AS10" s="4">
        <f ca="1" xml:space="preserve">  Expense!AS$13</f>
        <v>106151.32432523089</v>
      </c>
      <c r="AT10" s="4">
        <f ca="1" xml:space="preserve">  Expense!AT$13</f>
        <v>112346.46949031638</v>
      </c>
      <c r="AU10" s="4">
        <f ca="1" xml:space="preserve">  Expense!AU$13</f>
        <v>118829.06185177941</v>
      </c>
      <c r="AV10" s="4">
        <f ca="1" xml:space="preserve">  Expense!AV$13</f>
        <v>125697.12921452493</v>
      </c>
      <c r="AW10" s="4">
        <f ca="1" xml:space="preserve">  Expense!AW$13</f>
        <v>133054.44809200661</v>
      </c>
      <c r="AX10" s="4">
        <f ca="1" xml:space="preserve">  Expense!AX$13</f>
        <v>140763.59305192073</v>
      </c>
      <c r="AY10" s="4">
        <f ca="1" xml:space="preserve">  Expense!AY$13</f>
        <v>148931.14762601568</v>
      </c>
      <c r="AZ10" s="4">
        <f ca="1" xml:space="preserve">  Expense!AZ$13</f>
        <v>157667.1898137629</v>
      </c>
      <c r="BA10" s="4">
        <f ca="1" xml:space="preserve">  Expense!BA$13</f>
        <v>166834.95985068014</v>
      </c>
      <c r="BB10" s="4">
        <f ca="1" xml:space="preserve">  Expense!BB$13</f>
        <v>176547.87386236686</v>
      </c>
      <c r="BC10" s="4">
        <f ca="1" xml:space="preserve">  Expense!BC$13</f>
        <v>186923.35494227236</v>
      </c>
      <c r="BD10" s="4">
        <f ca="1" xml:space="preserve">  Expense!BD$13</f>
        <v>197825.73229888306</v>
      </c>
      <c r="BE10" s="4">
        <f ca="1" xml:space="preserve">  Expense!BE$13</f>
        <v>209376.39874899058</v>
      </c>
      <c r="BF10" s="4">
        <f ca="1" xml:space="preserve">  Expense!BF$13</f>
        <v>221697.94587510728</v>
      </c>
      <c r="BG10" s="4">
        <f ca="1" xml:space="preserve">  Expense!BG$13</f>
        <v>234663.13059803328</v>
      </c>
      <c r="BH10" s="4">
        <f ca="1" xml:space="preserve">  Expense!BH$13</f>
        <v>248399.26532352433</v>
      </c>
      <c r="BI10" s="4">
        <f ca="1" xml:space="preserve">  Expense!BI$13</f>
        <v>263041.14476289513</v>
      </c>
      <c r="BJ10" s="4">
        <f ca="1" xml:space="preserve">  Expense!BJ$13</f>
        <v>278459.43468272331</v>
      </c>
      <c r="BK10" s="4">
        <f ca="1" xml:space="preserve">  Expense!BK$13</f>
        <v>294794.54383091326</v>
      </c>
      <c r="BL10" s="4">
        <f ca="1" xml:space="preserve">  Expense!BL$13</f>
        <v>312192.10235011479</v>
      </c>
      <c r="BM10" s="4">
        <f ca="1" xml:space="preserve">  Expense!BM$13</f>
        <v>330527.64242394926</v>
      </c>
      <c r="BN10" s="4">
        <f ca="1" xml:space="preserve">  Expense!BN$13</f>
        <v>349953.4704473227</v>
      </c>
      <c r="BO10" s="4">
        <f ca="1" xml:space="preserve">  Expense!BO$13</f>
        <v>370627.09488872165</v>
      </c>
      <c r="BP10" s="4">
        <f ca="1" xml:space="preserve">  Expense!BP$13</f>
        <v>392431.84960194316</v>
      </c>
      <c r="BQ10" s="4">
        <f ca="1" xml:space="preserve">  Expense!BQ$13</f>
        <v>415533.18250215822</v>
      </c>
    </row>
    <row r="11" spans="1:69" outlineLevel="1">
      <c r="E11" s="47" t="s">
        <v>347</v>
      </c>
      <c r="G11" s="47" t="s">
        <v>257</v>
      </c>
      <c r="H11" s="2">
        <f ca="1" xml:space="preserve"> SUM( J11:BQ11 )</f>
        <v>18665824.463428456</v>
      </c>
      <c r="J11" s="2">
        <f t="shared" ref="J11:BQ11" ca="1" si="0" xml:space="preserve">  J9 + J10</f>
        <v>6700</v>
      </c>
      <c r="K11" s="2">
        <f t="shared" ca="1" si="0"/>
        <v>6700</v>
      </c>
      <c r="L11" s="2">
        <f t="shared" ca="1" si="0"/>
        <v>76700</v>
      </c>
      <c r="M11" s="2">
        <f t="shared" ca="1" si="0"/>
        <v>76760.785685134557</v>
      </c>
      <c r="N11" s="2">
        <f t="shared" ca="1" si="0"/>
        <v>85160.785685134557</v>
      </c>
      <c r="O11" s="2">
        <f t="shared" ca="1" si="0"/>
        <v>15160.785685134551</v>
      </c>
      <c r="P11" s="2">
        <f t="shared" ca="1" si="0"/>
        <v>85223.049330076014</v>
      </c>
      <c r="Q11" s="2">
        <f t="shared" ca="1" si="0"/>
        <v>23623.049330076014</v>
      </c>
      <c r="R11" s="2">
        <f t="shared" ca="1" si="0"/>
        <v>93623.049330076014</v>
      </c>
      <c r="S11" s="2">
        <f t="shared" ca="1" si="0"/>
        <v>23686.826870344172</v>
      </c>
      <c r="T11" s="2">
        <f t="shared" ca="1" si="0"/>
        <v>23686.826870344172</v>
      </c>
      <c r="U11" s="2">
        <f t="shared" ca="1" si="0"/>
        <v>23686.826870344172</v>
      </c>
      <c r="V11" s="2">
        <f t="shared" ca="1" si="0"/>
        <v>24998.724981545205</v>
      </c>
      <c r="W11" s="2">
        <f t="shared" ca="1" si="0"/>
        <v>26321.70301449683</v>
      </c>
      <c r="X11" s="2">
        <f t="shared" ca="1" si="0"/>
        <v>62723.34941505715</v>
      </c>
      <c r="Y11" s="2">
        <f t="shared" ca="1" si="0"/>
        <v>64275.481014173223</v>
      </c>
      <c r="Z11" s="2">
        <f t="shared" ca="1" si="0"/>
        <v>65848.775903951595</v>
      </c>
      <c r="AA11" s="2">
        <f t="shared" ca="1" si="0"/>
        <v>102515.62377621587</v>
      </c>
      <c r="AB11" s="2">
        <f t="shared" ca="1" si="0"/>
        <v>69349.989438470118</v>
      </c>
      <c r="AC11" s="2">
        <f t="shared" ca="1" si="0"/>
        <v>106220.96291539201</v>
      </c>
      <c r="AD11" s="2">
        <f t="shared" ca="1" si="0"/>
        <v>73203.190264715828</v>
      </c>
      <c r="AE11" s="2">
        <f t="shared" ca="1" si="0"/>
        <v>110373.5754229117</v>
      </c>
      <c r="AF11" s="2">
        <f t="shared" ca="1" si="0"/>
        <v>112598.55039364856</v>
      </c>
      <c r="AG11" s="2">
        <f t="shared" ca="1" si="0"/>
        <v>114955.82926101744</v>
      </c>
      <c r="AH11" s="2">
        <f t="shared" ca="1" si="0"/>
        <v>121302.71303410354</v>
      </c>
      <c r="AI11" s="2">
        <f t="shared" ca="1" si="0"/>
        <v>158948.66910000681</v>
      </c>
      <c r="AJ11" s="2">
        <f t="shared" ca="1" si="0"/>
        <v>126751.96190112743</v>
      </c>
      <c r="AK11" s="2">
        <f t="shared" ca="1" si="0"/>
        <v>164795.43631923388</v>
      </c>
      <c r="AL11" s="2">
        <f t="shared" ca="1" si="0"/>
        <v>175502.02609879069</v>
      </c>
      <c r="AM11" s="2">
        <f t="shared" ca="1" si="0"/>
        <v>213835.72184331925</v>
      </c>
      <c r="AN11" s="2">
        <f t="shared" ca="1" si="0"/>
        <v>182442.92379053554</v>
      </c>
      <c r="AO11" s="2">
        <f t="shared" ca="1" si="0"/>
        <v>228744.8707443793</v>
      </c>
      <c r="AP11" s="2">
        <f t="shared" ca="1" si="0"/>
        <v>267709.3254430269</v>
      </c>
      <c r="AQ11" s="2">
        <f t="shared" ca="1" si="0"/>
        <v>236986.81664901943</v>
      </c>
      <c r="AR11" s="2">
        <f t="shared" ca="1" si="0"/>
        <v>276436.76659049315</v>
      </c>
      <c r="AS11" s="2">
        <f t="shared" ca="1" si="0"/>
        <v>281151.3243252309</v>
      </c>
      <c r="AT11" s="2">
        <f t="shared" ca="1" si="0"/>
        <v>287346.46949031635</v>
      </c>
      <c r="AU11" s="2">
        <f t="shared" ca="1" si="0"/>
        <v>293829.06185177941</v>
      </c>
      <c r="AV11" s="2">
        <f t="shared" ca="1" si="0"/>
        <v>335697.12921452493</v>
      </c>
      <c r="AW11" s="2">
        <f t="shared" ca="1" si="0"/>
        <v>343054.44809200661</v>
      </c>
      <c r="AX11" s="2">
        <f t="shared" ca="1" si="0"/>
        <v>385763.59305192076</v>
      </c>
      <c r="AY11" s="2">
        <f t="shared" ca="1" si="0"/>
        <v>393931.14762601571</v>
      </c>
      <c r="AZ11" s="2">
        <f t="shared" ca="1" si="0"/>
        <v>402667.1898137629</v>
      </c>
      <c r="BA11" s="2">
        <f t="shared" ca="1" si="0"/>
        <v>446834.95985068014</v>
      </c>
      <c r="BB11" s="2">
        <f t="shared" ca="1" si="0"/>
        <v>456547.87386236689</v>
      </c>
      <c r="BC11" s="2">
        <f t="shared" ca="1" si="0"/>
        <v>501923.35494227236</v>
      </c>
      <c r="BD11" s="2">
        <f t="shared" ca="1" si="0"/>
        <v>512825.73229888303</v>
      </c>
      <c r="BE11" s="2">
        <f t="shared" ca="1" si="0"/>
        <v>559376.39874899061</v>
      </c>
      <c r="BF11" s="2">
        <f t="shared" ca="1" si="0"/>
        <v>571697.94587510731</v>
      </c>
      <c r="BG11" s="2">
        <f t="shared" ca="1" si="0"/>
        <v>619663.13059803331</v>
      </c>
      <c r="BH11" s="2">
        <f t="shared" ca="1" si="0"/>
        <v>668399.26532352436</v>
      </c>
      <c r="BI11" s="2">
        <f t="shared" ca="1" si="0"/>
        <v>683041.14476289507</v>
      </c>
      <c r="BJ11" s="2">
        <f t="shared" ca="1" si="0"/>
        <v>733459.43468272337</v>
      </c>
      <c r="BK11" s="2">
        <f t="shared" ca="1" si="0"/>
        <v>784794.54383091326</v>
      </c>
      <c r="BL11" s="2">
        <f t="shared" ca="1" si="0"/>
        <v>837192.10235011484</v>
      </c>
      <c r="BM11" s="2">
        <f t="shared" ca="1" si="0"/>
        <v>855527.6424239492</v>
      </c>
      <c r="BN11" s="2">
        <f t="shared" ca="1" si="0"/>
        <v>944953.4704473227</v>
      </c>
      <c r="BO11" s="2">
        <f t="shared" ca="1" si="0"/>
        <v>965627.09488872159</v>
      </c>
      <c r="BP11" s="2">
        <f t="shared" ca="1" si="0"/>
        <v>1057431.849601943</v>
      </c>
      <c r="BQ11" s="2">
        <f t="shared" ca="1" si="0"/>
        <v>1115533.1825021582</v>
      </c>
    </row>
    <row r="14" spans="1:69">
      <c r="B14" s="25" t="s">
        <v>266</v>
      </c>
    </row>
    <row r="15" spans="1:69" outlineLevel="1">
      <c r="A15" s="18"/>
      <c r="B15" s="18"/>
      <c r="C15" s="28"/>
      <c r="D15" s="27"/>
      <c r="E15" s="43" t="str">
        <f xml:space="preserve">  InpC!E$86</f>
        <v>VAT rate</v>
      </c>
      <c r="F15" s="43">
        <f xml:space="preserve">  InpC!F$86</f>
        <v>0.2</v>
      </c>
      <c r="G15" s="43" t="str">
        <f xml:space="preserve">  InpC!G$86</f>
        <v>%</v>
      </c>
      <c r="M15" s="57"/>
    </row>
    <row r="16" spans="1:69" outlineLevel="1">
      <c r="A16" s="18"/>
      <c r="B16" s="18"/>
      <c r="C16" s="28"/>
      <c r="D16" s="27"/>
      <c r="E16" s="4" t="str">
        <f xml:space="preserve">  Income!E$12</f>
        <v>New Deferred Income from customer orders</v>
      </c>
      <c r="F16" s="4">
        <f xml:space="preserve">  Income!F$12</f>
        <v>0</v>
      </c>
      <c r="G16" s="4" t="str">
        <f xml:space="preserve">  Income!G$12</f>
        <v>GBP</v>
      </c>
      <c r="H16" s="4">
        <f ca="1" xml:space="preserve">  Income!H$12</f>
        <v>655200000</v>
      </c>
      <c r="I16" s="4">
        <f xml:space="preserve">  Income!I$12</f>
        <v>0</v>
      </c>
      <c r="J16" s="4">
        <f ca="1" xml:space="preserve">  Income!J$12</f>
        <v>0</v>
      </c>
      <c r="K16" s="4">
        <f ca="1" xml:space="preserve">  Income!K$12</f>
        <v>0</v>
      </c>
      <c r="L16" s="4">
        <f ca="1" xml:space="preserve">  Income!L$12</f>
        <v>840000</v>
      </c>
      <c r="M16" s="4">
        <f ca="1" xml:space="preserve">  Income!M$12</f>
        <v>420000</v>
      </c>
      <c r="N16" s="4">
        <f ca="1" xml:space="preserve">  Income!N$12</f>
        <v>420000</v>
      </c>
      <c r="O16" s="4">
        <f ca="1" xml:space="preserve">  Income!O$12</f>
        <v>420000</v>
      </c>
      <c r="P16" s="4">
        <f ca="1" xml:space="preserve">  Income!P$12</f>
        <v>2100000</v>
      </c>
      <c r="Q16" s="4">
        <f ca="1" xml:space="preserve">  Income!Q$12</f>
        <v>1260000</v>
      </c>
      <c r="R16" s="4">
        <f ca="1" xml:space="preserve">  Income!R$12</f>
        <v>840000</v>
      </c>
      <c r="S16" s="4">
        <f ca="1" xml:space="preserve">  Income!S$12</f>
        <v>0</v>
      </c>
      <c r="T16" s="4">
        <f ca="1" xml:space="preserve">  Income!T$12</f>
        <v>4200000</v>
      </c>
      <c r="U16" s="4">
        <f ca="1" xml:space="preserve">  Income!U$12</f>
        <v>0</v>
      </c>
      <c r="V16" s="4">
        <f ca="1" xml:space="preserve">  Income!V$12</f>
        <v>4200000</v>
      </c>
      <c r="W16" s="4">
        <f ca="1" xml:space="preserve">  Income!W$12</f>
        <v>3484872.4981545196</v>
      </c>
      <c r="X16" s="4">
        <f ca="1" xml:space="preserve">  Income!X$12</f>
        <v>1555127.5018454804</v>
      </c>
      <c r="Y16" s="4">
        <f ca="1" xml:space="preserve">  Income!Y$12</f>
        <v>4559377.741109916</v>
      </c>
      <c r="Z16" s="4">
        <f ca="1" xml:space="preserve">  Income!Z$12</f>
        <v>480622.25889008382</v>
      </c>
      <c r="AA16" s="4">
        <f ca="1" xml:space="preserve">  Income!AA$12</f>
        <v>420000</v>
      </c>
      <c r="AB16" s="4">
        <f ca="1" xml:space="preserve">  Income!AB$12</f>
        <v>2100000</v>
      </c>
      <c r="AC16" s="4">
        <f ca="1" xml:space="preserve">  Income!AC$12</f>
        <v>1260000</v>
      </c>
      <c r="AD16" s="4">
        <f ca="1" xml:space="preserve">  Income!AD$12</f>
        <v>840000</v>
      </c>
      <c r="AE16" s="4">
        <f ca="1" xml:space="preserve">  Income!AE$12</f>
        <v>2100000</v>
      </c>
      <c r="AF16" s="4">
        <f ca="1" xml:space="preserve">  Income!AF$12</f>
        <v>6300000</v>
      </c>
      <c r="AG16" s="4">
        <f ca="1" xml:space="preserve">  Income!AG$12</f>
        <v>2100000</v>
      </c>
      <c r="AH16" s="4">
        <f ca="1" xml:space="preserve">  Income!AH$12</f>
        <v>8400000</v>
      </c>
      <c r="AI16" s="4">
        <f ca="1" xml:space="preserve">  Income!AI$12</f>
        <v>5584872.4981545191</v>
      </c>
      <c r="AJ16" s="4">
        <f ca="1" xml:space="preserve">  Income!AJ$12</f>
        <v>4915127.5018454809</v>
      </c>
      <c r="AK16" s="4">
        <f ca="1" xml:space="preserve">  Income!AK$12</f>
        <v>6239377.741109916</v>
      </c>
      <c r="AL16" s="4">
        <f ca="1" xml:space="preserve">  Income!AL$12</f>
        <v>4260622.258890084</v>
      </c>
      <c r="AM16" s="4">
        <f ca="1" xml:space="preserve">  Income!AM$12</f>
        <v>4200000</v>
      </c>
      <c r="AN16" s="4">
        <f ca="1" xml:space="preserve">  Income!AN$12</f>
        <v>4200000</v>
      </c>
      <c r="AO16" s="4">
        <f ca="1" xml:space="preserve">  Income!AO$12</f>
        <v>4200000</v>
      </c>
      <c r="AP16" s="4">
        <f ca="1" xml:space="preserve">  Income!AP$12</f>
        <v>6300000</v>
      </c>
      <c r="AQ16" s="4">
        <f ca="1" xml:space="preserve">  Income!AQ$12</f>
        <v>6300000</v>
      </c>
      <c r="AR16" s="4">
        <f ca="1" xml:space="preserve">  Income!AR$12</f>
        <v>8400000</v>
      </c>
      <c r="AS16" s="4">
        <f ca="1" xml:space="preserve">  Income!AS$12</f>
        <v>8400000</v>
      </c>
      <c r="AT16" s="4">
        <f ca="1" xml:space="preserve">  Income!AT$12</f>
        <v>12600000</v>
      </c>
      <c r="AU16" s="4">
        <f ca="1" xml:space="preserve">  Income!AU$12</f>
        <v>8400000</v>
      </c>
      <c r="AV16" s="4">
        <f ca="1" xml:space="preserve">  Income!AV$12</f>
        <v>12600000</v>
      </c>
      <c r="AW16" s="4">
        <f ca="1" xml:space="preserve">  Income!AW$12</f>
        <v>12600000</v>
      </c>
      <c r="AX16" s="4">
        <f ca="1" xml:space="preserve">  Income!AX$12</f>
        <v>12600000</v>
      </c>
      <c r="AY16" s="4">
        <f ca="1" xml:space="preserve">  Income!AY$12</f>
        <v>14700000</v>
      </c>
      <c r="AZ16" s="4">
        <f ca="1" xml:space="preserve">  Income!AZ$12</f>
        <v>14700000</v>
      </c>
      <c r="BA16" s="4">
        <f ca="1" xml:space="preserve">  Income!BA$12</f>
        <v>14700000</v>
      </c>
      <c r="BB16" s="4">
        <f ca="1" xml:space="preserve">  Income!BB$12</f>
        <v>16800000</v>
      </c>
      <c r="BC16" s="4">
        <f ca="1" xml:space="preserve">  Income!BC$12</f>
        <v>16800000</v>
      </c>
      <c r="BD16" s="4">
        <f ca="1" xml:space="preserve">  Income!BD$12</f>
        <v>18900000</v>
      </c>
      <c r="BE16" s="4">
        <f ca="1" xml:space="preserve">  Income!BE$12</f>
        <v>21000000</v>
      </c>
      <c r="BF16" s="4">
        <f ca="1" xml:space="preserve">  Income!BF$12</f>
        <v>23100000</v>
      </c>
      <c r="BG16" s="4">
        <f ca="1" xml:space="preserve">  Income!BG$12</f>
        <v>21000000</v>
      </c>
      <c r="BH16" s="4">
        <f ca="1" xml:space="preserve">  Income!BH$12</f>
        <v>25200000</v>
      </c>
      <c r="BI16" s="4">
        <f ca="1" xml:space="preserve">  Income!BI$12</f>
        <v>27300000</v>
      </c>
      <c r="BJ16" s="4">
        <f ca="1" xml:space="preserve">  Income!BJ$12</f>
        <v>27300000</v>
      </c>
      <c r="BK16" s="4">
        <f ca="1" xml:space="preserve">  Income!BK$12</f>
        <v>29400000</v>
      </c>
      <c r="BL16" s="4">
        <f ca="1" xml:space="preserve">  Income!BL$12</f>
        <v>31499999.999999996</v>
      </c>
      <c r="BM16" s="4">
        <f ca="1" xml:space="preserve">  Income!BM$12</f>
        <v>31500000.000000004</v>
      </c>
      <c r="BN16" s="4">
        <f ca="1" xml:space="preserve">  Income!BN$12</f>
        <v>33599999.999999993</v>
      </c>
      <c r="BO16" s="4">
        <f ca="1" xml:space="preserve">  Income!BO$12</f>
        <v>37800000</v>
      </c>
      <c r="BP16" s="4">
        <f ca="1" xml:space="preserve">  Income!BP$12</f>
        <v>37800000</v>
      </c>
      <c r="BQ16" s="4">
        <f ca="1" xml:space="preserve">  Income!BQ$12</f>
        <v>42000000</v>
      </c>
    </row>
    <row r="17" spans="1:69" outlineLevel="1">
      <c r="A17" s="34"/>
      <c r="B17" s="34"/>
      <c r="C17" s="64"/>
      <c r="D17" s="65"/>
      <c r="E17" s="21" t="s">
        <v>266</v>
      </c>
      <c r="F17" s="21"/>
      <c r="G17" s="21" t="s">
        <v>257</v>
      </c>
      <c r="H17" s="3">
        <f ca="1" xml:space="preserve"> SUM( J17:BQ17 )</f>
        <v>131040000</v>
      </c>
      <c r="I17" s="21"/>
      <c r="J17" s="3">
        <f t="shared" ref="J17:BQ17" ca="1" si="1" xml:space="preserve">  J16 * $F15</f>
        <v>0</v>
      </c>
      <c r="K17" s="3">
        <f t="shared" ca="1" si="1"/>
        <v>0</v>
      </c>
      <c r="L17" s="3">
        <f t="shared" ca="1" si="1"/>
        <v>168000</v>
      </c>
      <c r="M17" s="3">
        <f t="shared" ca="1" si="1"/>
        <v>84000</v>
      </c>
      <c r="N17" s="3">
        <f t="shared" ca="1" si="1"/>
        <v>84000</v>
      </c>
      <c r="O17" s="3">
        <f t="shared" ca="1" si="1"/>
        <v>84000</v>
      </c>
      <c r="P17" s="3">
        <f t="shared" ca="1" si="1"/>
        <v>420000</v>
      </c>
      <c r="Q17" s="3">
        <f t="shared" ca="1" si="1"/>
        <v>252000</v>
      </c>
      <c r="R17" s="3">
        <f t="shared" ca="1" si="1"/>
        <v>168000</v>
      </c>
      <c r="S17" s="3">
        <f t="shared" ca="1" si="1"/>
        <v>0</v>
      </c>
      <c r="T17" s="3">
        <f t="shared" ca="1" si="1"/>
        <v>840000</v>
      </c>
      <c r="U17" s="3">
        <f t="shared" ca="1" si="1"/>
        <v>0</v>
      </c>
      <c r="V17" s="3">
        <f t="shared" ca="1" si="1"/>
        <v>840000</v>
      </c>
      <c r="W17" s="3">
        <f t="shared" ca="1" si="1"/>
        <v>696974.49963090394</v>
      </c>
      <c r="X17" s="3">
        <f t="shared" ca="1" si="1"/>
        <v>311025.50036909612</v>
      </c>
      <c r="Y17" s="3">
        <f t="shared" ca="1" si="1"/>
        <v>911875.54822198325</v>
      </c>
      <c r="Z17" s="3">
        <f t="shared" ca="1" si="1"/>
        <v>96124.451778016766</v>
      </c>
      <c r="AA17" s="3">
        <f t="shared" ca="1" si="1"/>
        <v>84000</v>
      </c>
      <c r="AB17" s="3">
        <f t="shared" ca="1" si="1"/>
        <v>420000</v>
      </c>
      <c r="AC17" s="3">
        <f t="shared" ca="1" si="1"/>
        <v>252000</v>
      </c>
      <c r="AD17" s="3">
        <f t="shared" ca="1" si="1"/>
        <v>168000</v>
      </c>
      <c r="AE17" s="3">
        <f t="shared" ca="1" si="1"/>
        <v>420000</v>
      </c>
      <c r="AF17" s="3">
        <f t="shared" ca="1" si="1"/>
        <v>1260000</v>
      </c>
      <c r="AG17" s="3">
        <f t="shared" ca="1" si="1"/>
        <v>420000</v>
      </c>
      <c r="AH17" s="3">
        <f t="shared" ca="1" si="1"/>
        <v>1680000</v>
      </c>
      <c r="AI17" s="3">
        <f t="shared" ca="1" si="1"/>
        <v>1116974.4996309038</v>
      </c>
      <c r="AJ17" s="3">
        <f t="shared" ca="1" si="1"/>
        <v>983025.50036909617</v>
      </c>
      <c r="AK17" s="3">
        <f t="shared" ca="1" si="1"/>
        <v>1247875.5482219832</v>
      </c>
      <c r="AL17" s="3">
        <f t="shared" ca="1" si="1"/>
        <v>852124.45177801687</v>
      </c>
      <c r="AM17" s="3">
        <f t="shared" ca="1" si="1"/>
        <v>840000</v>
      </c>
      <c r="AN17" s="3">
        <f t="shared" ca="1" si="1"/>
        <v>840000</v>
      </c>
      <c r="AO17" s="3">
        <f t="shared" ca="1" si="1"/>
        <v>840000</v>
      </c>
      <c r="AP17" s="3">
        <f t="shared" ca="1" si="1"/>
        <v>1260000</v>
      </c>
      <c r="AQ17" s="3">
        <f t="shared" ca="1" si="1"/>
        <v>1260000</v>
      </c>
      <c r="AR17" s="3">
        <f t="shared" ca="1" si="1"/>
        <v>1680000</v>
      </c>
      <c r="AS17" s="3">
        <f t="shared" ca="1" si="1"/>
        <v>1680000</v>
      </c>
      <c r="AT17" s="3">
        <f t="shared" ca="1" si="1"/>
        <v>2520000</v>
      </c>
      <c r="AU17" s="3">
        <f t="shared" ca="1" si="1"/>
        <v>1680000</v>
      </c>
      <c r="AV17" s="3">
        <f t="shared" ca="1" si="1"/>
        <v>2520000</v>
      </c>
      <c r="AW17" s="3">
        <f t="shared" ca="1" si="1"/>
        <v>2520000</v>
      </c>
      <c r="AX17" s="3">
        <f t="shared" ca="1" si="1"/>
        <v>2520000</v>
      </c>
      <c r="AY17" s="3">
        <f t="shared" ca="1" si="1"/>
        <v>2940000</v>
      </c>
      <c r="AZ17" s="3">
        <f t="shared" ca="1" si="1"/>
        <v>2940000</v>
      </c>
      <c r="BA17" s="3">
        <f t="shared" ca="1" si="1"/>
        <v>2940000</v>
      </c>
      <c r="BB17" s="3">
        <f t="shared" ca="1" si="1"/>
        <v>3360000</v>
      </c>
      <c r="BC17" s="3">
        <f t="shared" ca="1" si="1"/>
        <v>3360000</v>
      </c>
      <c r="BD17" s="3">
        <f t="shared" ca="1" si="1"/>
        <v>3780000</v>
      </c>
      <c r="BE17" s="3">
        <f t="shared" ca="1" si="1"/>
        <v>4200000</v>
      </c>
      <c r="BF17" s="3">
        <f t="shared" ca="1" si="1"/>
        <v>4620000</v>
      </c>
      <c r="BG17" s="3">
        <f t="shared" ca="1" si="1"/>
        <v>4200000</v>
      </c>
      <c r="BH17" s="3">
        <f t="shared" ca="1" si="1"/>
        <v>5040000</v>
      </c>
      <c r="BI17" s="3">
        <f t="shared" ca="1" si="1"/>
        <v>5460000</v>
      </c>
      <c r="BJ17" s="3">
        <f t="shared" ca="1" si="1"/>
        <v>5460000</v>
      </c>
      <c r="BK17" s="3">
        <f t="shared" ca="1" si="1"/>
        <v>5880000</v>
      </c>
      <c r="BL17" s="3">
        <f t="shared" ca="1" si="1"/>
        <v>6300000</v>
      </c>
      <c r="BM17" s="3">
        <f t="shared" ca="1" si="1"/>
        <v>6300000.0000000009</v>
      </c>
      <c r="BN17" s="3">
        <f t="shared" ca="1" si="1"/>
        <v>6719999.9999999991</v>
      </c>
      <c r="BO17" s="3">
        <f t="shared" ca="1" si="1"/>
        <v>7560000</v>
      </c>
      <c r="BP17" s="3">
        <f t="shared" ca="1" si="1"/>
        <v>7560000</v>
      </c>
      <c r="BQ17" s="3">
        <f t="shared" ca="1" si="1"/>
        <v>8400000</v>
      </c>
    </row>
    <row r="20" spans="1:69">
      <c r="B20" s="25" t="s">
        <v>62</v>
      </c>
    </row>
    <row r="21" spans="1:69" outlineLevel="1">
      <c r="E21" s="2" t="str">
        <f t="shared" ref="E21:BQ21" si="2" xml:space="preserve">  E$17</f>
        <v>Output VAT</v>
      </c>
      <c r="F21" s="2">
        <f t="shared" si="2"/>
        <v>0</v>
      </c>
      <c r="G21" s="2" t="str">
        <f t="shared" si="2"/>
        <v>GBP</v>
      </c>
      <c r="H21" s="2">
        <f t="shared" ca="1" si="2"/>
        <v>131040000</v>
      </c>
      <c r="I21" s="2">
        <f t="shared" si="2"/>
        <v>0</v>
      </c>
      <c r="J21" s="2">
        <f t="shared" ca="1" si="2"/>
        <v>0</v>
      </c>
      <c r="K21" s="2">
        <f t="shared" ca="1" si="2"/>
        <v>0</v>
      </c>
      <c r="L21" s="2">
        <f t="shared" ca="1" si="2"/>
        <v>168000</v>
      </c>
      <c r="M21" s="2">
        <f t="shared" ca="1" si="2"/>
        <v>84000</v>
      </c>
      <c r="N21" s="2">
        <f t="shared" ca="1" si="2"/>
        <v>84000</v>
      </c>
      <c r="O21" s="2">
        <f t="shared" ca="1" si="2"/>
        <v>84000</v>
      </c>
      <c r="P21" s="2">
        <f t="shared" ca="1" si="2"/>
        <v>420000</v>
      </c>
      <c r="Q21" s="2">
        <f t="shared" ca="1" si="2"/>
        <v>252000</v>
      </c>
      <c r="R21" s="2">
        <f t="shared" ca="1" si="2"/>
        <v>168000</v>
      </c>
      <c r="S21" s="2">
        <f t="shared" ca="1" si="2"/>
        <v>0</v>
      </c>
      <c r="T21" s="2">
        <f t="shared" ca="1" si="2"/>
        <v>840000</v>
      </c>
      <c r="U21" s="2">
        <f t="shared" ca="1" si="2"/>
        <v>0</v>
      </c>
      <c r="V21" s="2">
        <f t="shared" ca="1" si="2"/>
        <v>840000</v>
      </c>
      <c r="W21" s="2">
        <f t="shared" ca="1" si="2"/>
        <v>696974.49963090394</v>
      </c>
      <c r="X21" s="2">
        <f t="shared" ca="1" si="2"/>
        <v>311025.50036909612</v>
      </c>
      <c r="Y21" s="2">
        <f t="shared" ca="1" si="2"/>
        <v>911875.54822198325</v>
      </c>
      <c r="Z21" s="2">
        <f t="shared" ca="1" si="2"/>
        <v>96124.451778016766</v>
      </c>
      <c r="AA21" s="2">
        <f t="shared" ca="1" si="2"/>
        <v>84000</v>
      </c>
      <c r="AB21" s="2">
        <f t="shared" ca="1" si="2"/>
        <v>420000</v>
      </c>
      <c r="AC21" s="2">
        <f t="shared" ca="1" si="2"/>
        <v>252000</v>
      </c>
      <c r="AD21" s="2">
        <f t="shared" ca="1" si="2"/>
        <v>168000</v>
      </c>
      <c r="AE21" s="2">
        <f t="shared" ca="1" si="2"/>
        <v>420000</v>
      </c>
      <c r="AF21" s="2">
        <f t="shared" ca="1" si="2"/>
        <v>1260000</v>
      </c>
      <c r="AG21" s="2">
        <f t="shared" ca="1" si="2"/>
        <v>420000</v>
      </c>
      <c r="AH21" s="2">
        <f t="shared" ca="1" si="2"/>
        <v>1680000</v>
      </c>
      <c r="AI21" s="2">
        <f t="shared" ca="1" si="2"/>
        <v>1116974.4996309038</v>
      </c>
      <c r="AJ21" s="2">
        <f t="shared" ca="1" si="2"/>
        <v>983025.50036909617</v>
      </c>
      <c r="AK21" s="2">
        <f t="shared" ca="1" si="2"/>
        <v>1247875.5482219832</v>
      </c>
      <c r="AL21" s="2">
        <f t="shared" ca="1" si="2"/>
        <v>852124.45177801687</v>
      </c>
      <c r="AM21" s="2">
        <f t="shared" ca="1" si="2"/>
        <v>840000</v>
      </c>
      <c r="AN21" s="2">
        <f t="shared" ca="1" si="2"/>
        <v>840000</v>
      </c>
      <c r="AO21" s="2">
        <f t="shared" ca="1" si="2"/>
        <v>840000</v>
      </c>
      <c r="AP21" s="2">
        <f t="shared" ca="1" si="2"/>
        <v>1260000</v>
      </c>
      <c r="AQ21" s="2">
        <f t="shared" ca="1" si="2"/>
        <v>1260000</v>
      </c>
      <c r="AR21" s="2">
        <f t="shared" ca="1" si="2"/>
        <v>1680000</v>
      </c>
      <c r="AS21" s="2">
        <f t="shared" ca="1" si="2"/>
        <v>1680000</v>
      </c>
      <c r="AT21" s="2">
        <f t="shared" ca="1" si="2"/>
        <v>2520000</v>
      </c>
      <c r="AU21" s="2">
        <f t="shared" ca="1" si="2"/>
        <v>1680000</v>
      </c>
      <c r="AV21" s="2">
        <f t="shared" ca="1" si="2"/>
        <v>2520000</v>
      </c>
      <c r="AW21" s="2">
        <f t="shared" ca="1" si="2"/>
        <v>2520000</v>
      </c>
      <c r="AX21" s="2">
        <f t="shared" ca="1" si="2"/>
        <v>2520000</v>
      </c>
      <c r="AY21" s="2">
        <f t="shared" ca="1" si="2"/>
        <v>2940000</v>
      </c>
      <c r="AZ21" s="2">
        <f t="shared" ca="1" si="2"/>
        <v>2940000</v>
      </c>
      <c r="BA21" s="2">
        <f t="shared" ca="1" si="2"/>
        <v>2940000</v>
      </c>
      <c r="BB21" s="2">
        <f t="shared" ca="1" si="2"/>
        <v>3360000</v>
      </c>
      <c r="BC21" s="2">
        <f t="shared" ca="1" si="2"/>
        <v>3360000</v>
      </c>
      <c r="BD21" s="2">
        <f t="shared" ca="1" si="2"/>
        <v>3780000</v>
      </c>
      <c r="BE21" s="2">
        <f t="shared" ca="1" si="2"/>
        <v>4200000</v>
      </c>
      <c r="BF21" s="2">
        <f t="shared" ca="1" si="2"/>
        <v>4620000</v>
      </c>
      <c r="BG21" s="2">
        <f t="shared" ca="1" si="2"/>
        <v>4200000</v>
      </c>
      <c r="BH21" s="2">
        <f t="shared" ca="1" si="2"/>
        <v>5040000</v>
      </c>
      <c r="BI21" s="2">
        <f t="shared" ca="1" si="2"/>
        <v>5460000</v>
      </c>
      <c r="BJ21" s="2">
        <f t="shared" ca="1" si="2"/>
        <v>5460000</v>
      </c>
      <c r="BK21" s="2">
        <f t="shared" ca="1" si="2"/>
        <v>5880000</v>
      </c>
      <c r="BL21" s="2">
        <f t="shared" ca="1" si="2"/>
        <v>6300000</v>
      </c>
      <c r="BM21" s="2">
        <f t="shared" ca="1" si="2"/>
        <v>6300000.0000000009</v>
      </c>
      <c r="BN21" s="2">
        <f t="shared" ca="1" si="2"/>
        <v>6719999.9999999991</v>
      </c>
      <c r="BO21" s="2">
        <f t="shared" ca="1" si="2"/>
        <v>7560000</v>
      </c>
      <c r="BP21" s="2">
        <f t="shared" ca="1" si="2"/>
        <v>7560000</v>
      </c>
      <c r="BQ21" s="2">
        <f t="shared" ca="1" si="2"/>
        <v>8400000</v>
      </c>
    </row>
    <row r="22" spans="1:69" outlineLevel="1">
      <c r="E22" s="2" t="str">
        <f t="shared" ref="E22:BQ22" si="3" xml:space="preserve">  E$11</f>
        <v>Input VAT</v>
      </c>
      <c r="F22" s="2">
        <f t="shared" si="3"/>
        <v>0</v>
      </c>
      <c r="G22" s="2" t="str">
        <f t="shared" si="3"/>
        <v>GBP</v>
      </c>
      <c r="H22" s="2">
        <f t="shared" ca="1" si="3"/>
        <v>18665824.463428456</v>
      </c>
      <c r="I22" s="2">
        <f t="shared" si="3"/>
        <v>0</v>
      </c>
      <c r="J22" s="2">
        <f t="shared" ca="1" si="3"/>
        <v>6700</v>
      </c>
      <c r="K22" s="2">
        <f t="shared" ca="1" si="3"/>
        <v>6700</v>
      </c>
      <c r="L22" s="2">
        <f t="shared" ca="1" si="3"/>
        <v>76700</v>
      </c>
      <c r="M22" s="2">
        <f t="shared" ca="1" si="3"/>
        <v>76760.785685134557</v>
      </c>
      <c r="N22" s="2">
        <f t="shared" ca="1" si="3"/>
        <v>85160.785685134557</v>
      </c>
      <c r="O22" s="2">
        <f t="shared" ca="1" si="3"/>
        <v>15160.785685134551</v>
      </c>
      <c r="P22" s="2">
        <f t="shared" ca="1" si="3"/>
        <v>85223.049330076014</v>
      </c>
      <c r="Q22" s="2">
        <f t="shared" ca="1" si="3"/>
        <v>23623.049330076014</v>
      </c>
      <c r="R22" s="2">
        <f t="shared" ca="1" si="3"/>
        <v>93623.049330076014</v>
      </c>
      <c r="S22" s="2">
        <f t="shared" ca="1" si="3"/>
        <v>23686.826870344172</v>
      </c>
      <c r="T22" s="2">
        <f t="shared" ca="1" si="3"/>
        <v>23686.826870344172</v>
      </c>
      <c r="U22" s="2">
        <f t="shared" ca="1" si="3"/>
        <v>23686.826870344172</v>
      </c>
      <c r="V22" s="2">
        <f t="shared" ca="1" si="3"/>
        <v>24998.724981545205</v>
      </c>
      <c r="W22" s="2">
        <f t="shared" ca="1" si="3"/>
        <v>26321.70301449683</v>
      </c>
      <c r="X22" s="2">
        <f t="shared" ca="1" si="3"/>
        <v>62723.34941505715</v>
      </c>
      <c r="Y22" s="2">
        <f t="shared" ca="1" si="3"/>
        <v>64275.481014173223</v>
      </c>
      <c r="Z22" s="2">
        <f t="shared" ca="1" si="3"/>
        <v>65848.775903951595</v>
      </c>
      <c r="AA22" s="2">
        <f t="shared" ca="1" si="3"/>
        <v>102515.62377621587</v>
      </c>
      <c r="AB22" s="2">
        <f t="shared" ca="1" si="3"/>
        <v>69349.989438470118</v>
      </c>
      <c r="AC22" s="2">
        <f t="shared" ca="1" si="3"/>
        <v>106220.96291539201</v>
      </c>
      <c r="AD22" s="2">
        <f t="shared" ca="1" si="3"/>
        <v>73203.190264715828</v>
      </c>
      <c r="AE22" s="2">
        <f t="shared" ca="1" si="3"/>
        <v>110373.5754229117</v>
      </c>
      <c r="AF22" s="2">
        <f t="shared" ca="1" si="3"/>
        <v>112598.55039364856</v>
      </c>
      <c r="AG22" s="2">
        <f t="shared" ca="1" si="3"/>
        <v>114955.82926101744</v>
      </c>
      <c r="AH22" s="2">
        <f t="shared" ca="1" si="3"/>
        <v>121302.71303410354</v>
      </c>
      <c r="AI22" s="2">
        <f t="shared" ca="1" si="3"/>
        <v>158948.66910000681</v>
      </c>
      <c r="AJ22" s="2">
        <f t="shared" ca="1" si="3"/>
        <v>126751.96190112743</v>
      </c>
      <c r="AK22" s="2">
        <f t="shared" ca="1" si="3"/>
        <v>164795.43631923388</v>
      </c>
      <c r="AL22" s="2">
        <f t="shared" ca="1" si="3"/>
        <v>175502.02609879069</v>
      </c>
      <c r="AM22" s="2">
        <f t="shared" ca="1" si="3"/>
        <v>213835.72184331925</v>
      </c>
      <c r="AN22" s="2">
        <f t="shared" ca="1" si="3"/>
        <v>182442.92379053554</v>
      </c>
      <c r="AO22" s="2">
        <f t="shared" ca="1" si="3"/>
        <v>228744.8707443793</v>
      </c>
      <c r="AP22" s="2">
        <f t="shared" ca="1" si="3"/>
        <v>267709.3254430269</v>
      </c>
      <c r="AQ22" s="2">
        <f t="shared" ca="1" si="3"/>
        <v>236986.81664901943</v>
      </c>
      <c r="AR22" s="2">
        <f t="shared" ca="1" si="3"/>
        <v>276436.76659049315</v>
      </c>
      <c r="AS22" s="2">
        <f t="shared" ca="1" si="3"/>
        <v>281151.3243252309</v>
      </c>
      <c r="AT22" s="2">
        <f t="shared" ca="1" si="3"/>
        <v>287346.46949031635</v>
      </c>
      <c r="AU22" s="2">
        <f t="shared" ca="1" si="3"/>
        <v>293829.06185177941</v>
      </c>
      <c r="AV22" s="2">
        <f t="shared" ca="1" si="3"/>
        <v>335697.12921452493</v>
      </c>
      <c r="AW22" s="2">
        <f t="shared" ca="1" si="3"/>
        <v>343054.44809200661</v>
      </c>
      <c r="AX22" s="2">
        <f t="shared" ca="1" si="3"/>
        <v>385763.59305192076</v>
      </c>
      <c r="AY22" s="2">
        <f t="shared" ca="1" si="3"/>
        <v>393931.14762601571</v>
      </c>
      <c r="AZ22" s="2">
        <f t="shared" ca="1" si="3"/>
        <v>402667.1898137629</v>
      </c>
      <c r="BA22" s="2">
        <f t="shared" ca="1" si="3"/>
        <v>446834.95985068014</v>
      </c>
      <c r="BB22" s="2">
        <f t="shared" ca="1" si="3"/>
        <v>456547.87386236689</v>
      </c>
      <c r="BC22" s="2">
        <f t="shared" ca="1" si="3"/>
        <v>501923.35494227236</v>
      </c>
      <c r="BD22" s="2">
        <f t="shared" ca="1" si="3"/>
        <v>512825.73229888303</v>
      </c>
      <c r="BE22" s="2">
        <f t="shared" ca="1" si="3"/>
        <v>559376.39874899061</v>
      </c>
      <c r="BF22" s="2">
        <f t="shared" ca="1" si="3"/>
        <v>571697.94587510731</v>
      </c>
      <c r="BG22" s="2">
        <f t="shared" ca="1" si="3"/>
        <v>619663.13059803331</v>
      </c>
      <c r="BH22" s="2">
        <f t="shared" ca="1" si="3"/>
        <v>668399.26532352436</v>
      </c>
      <c r="BI22" s="2">
        <f t="shared" ca="1" si="3"/>
        <v>683041.14476289507</v>
      </c>
      <c r="BJ22" s="2">
        <f t="shared" ca="1" si="3"/>
        <v>733459.43468272337</v>
      </c>
      <c r="BK22" s="2">
        <f t="shared" ca="1" si="3"/>
        <v>784794.54383091326</v>
      </c>
      <c r="BL22" s="2">
        <f t="shared" ca="1" si="3"/>
        <v>837192.10235011484</v>
      </c>
      <c r="BM22" s="2">
        <f t="shared" ca="1" si="3"/>
        <v>855527.6424239492</v>
      </c>
      <c r="BN22" s="2">
        <f t="shared" ca="1" si="3"/>
        <v>944953.4704473227</v>
      </c>
      <c r="BO22" s="2">
        <f t="shared" ca="1" si="3"/>
        <v>965627.09488872159</v>
      </c>
      <c r="BP22" s="2">
        <f t="shared" ca="1" si="3"/>
        <v>1057431.849601943</v>
      </c>
      <c r="BQ22" s="2">
        <f t="shared" ca="1" si="3"/>
        <v>1115533.1825021582</v>
      </c>
    </row>
    <row r="23" spans="1:69" outlineLevel="1">
      <c r="E23" s="47" t="s">
        <v>62</v>
      </c>
      <c r="G23" s="47" t="s">
        <v>257</v>
      </c>
      <c r="H23" s="2">
        <f ca="1" xml:space="preserve"> SUM( J23:BQ23 )</f>
        <v>112374175.53657156</v>
      </c>
      <c r="J23" s="2">
        <f t="shared" ref="J23:BQ23" ca="1" si="4" xml:space="preserve">  J21 - J22</f>
        <v>-6700</v>
      </c>
      <c r="K23" s="2">
        <f t="shared" ca="1" si="4"/>
        <v>-6700</v>
      </c>
      <c r="L23" s="2">
        <f t="shared" ca="1" si="4"/>
        <v>91300</v>
      </c>
      <c r="M23" s="2">
        <f t="shared" ca="1" si="4"/>
        <v>7239.2143148654432</v>
      </c>
      <c r="N23" s="2">
        <f t="shared" ca="1" si="4"/>
        <v>-1160.7856851345568</v>
      </c>
      <c r="O23" s="2">
        <f t="shared" ca="1" si="4"/>
        <v>68839.214314865443</v>
      </c>
      <c r="P23" s="2">
        <f t="shared" ca="1" si="4"/>
        <v>334776.95066992397</v>
      </c>
      <c r="Q23" s="2">
        <f t="shared" ca="1" si="4"/>
        <v>228376.95066992397</v>
      </c>
      <c r="R23" s="2">
        <f t="shared" ca="1" si="4"/>
        <v>74376.950669923986</v>
      </c>
      <c r="S23" s="2">
        <f t="shared" ca="1" si="4"/>
        <v>-23686.826870344172</v>
      </c>
      <c r="T23" s="2">
        <f t="shared" ca="1" si="4"/>
        <v>816313.17312965589</v>
      </c>
      <c r="U23" s="2">
        <f t="shared" ca="1" si="4"/>
        <v>-23686.826870344172</v>
      </c>
      <c r="V23" s="2">
        <f t="shared" ca="1" si="4"/>
        <v>815001.27501845476</v>
      </c>
      <c r="W23" s="2">
        <f t="shared" ca="1" si="4"/>
        <v>670652.79661640711</v>
      </c>
      <c r="X23" s="2">
        <f t="shared" ca="1" si="4"/>
        <v>248302.15095403895</v>
      </c>
      <c r="Y23" s="2">
        <f t="shared" ca="1" si="4"/>
        <v>847600.06720781</v>
      </c>
      <c r="Z23" s="2">
        <f t="shared" ca="1" si="4"/>
        <v>30275.675874065171</v>
      </c>
      <c r="AA23" s="2">
        <f t="shared" ca="1" si="4"/>
        <v>-18515.623776215871</v>
      </c>
      <c r="AB23" s="2">
        <f t="shared" ca="1" si="4"/>
        <v>350650.0105615299</v>
      </c>
      <c r="AC23" s="2">
        <f t="shared" ca="1" si="4"/>
        <v>145779.03708460799</v>
      </c>
      <c r="AD23" s="2">
        <f t="shared" ca="1" si="4"/>
        <v>94796.809735284172</v>
      </c>
      <c r="AE23" s="2">
        <f t="shared" ca="1" si="4"/>
        <v>309626.42457708833</v>
      </c>
      <c r="AF23" s="2">
        <f t="shared" ca="1" si="4"/>
        <v>1147401.4496063516</v>
      </c>
      <c r="AG23" s="2">
        <f t="shared" ca="1" si="4"/>
        <v>305044.17073898256</v>
      </c>
      <c r="AH23" s="2">
        <f t="shared" ca="1" si="4"/>
        <v>1558697.2869658964</v>
      </c>
      <c r="AI23" s="2">
        <f t="shared" ca="1" si="4"/>
        <v>958025.83053089702</v>
      </c>
      <c r="AJ23" s="2">
        <f t="shared" ca="1" si="4"/>
        <v>856273.5384679687</v>
      </c>
      <c r="AK23" s="2">
        <f t="shared" ca="1" si="4"/>
        <v>1083080.1119027494</v>
      </c>
      <c r="AL23" s="2">
        <f t="shared" ca="1" si="4"/>
        <v>676622.42567922617</v>
      </c>
      <c r="AM23" s="2">
        <f t="shared" ca="1" si="4"/>
        <v>626164.27815668075</v>
      </c>
      <c r="AN23" s="2">
        <f t="shared" ca="1" si="4"/>
        <v>657557.07620946446</v>
      </c>
      <c r="AO23" s="2">
        <f t="shared" ca="1" si="4"/>
        <v>611255.12925562076</v>
      </c>
      <c r="AP23" s="2">
        <f t="shared" ca="1" si="4"/>
        <v>992290.67455697316</v>
      </c>
      <c r="AQ23" s="2">
        <f t="shared" ca="1" si="4"/>
        <v>1023013.1833509805</v>
      </c>
      <c r="AR23" s="2">
        <f t="shared" ca="1" si="4"/>
        <v>1403563.2334095067</v>
      </c>
      <c r="AS23" s="2">
        <f t="shared" ca="1" si="4"/>
        <v>1398848.6756747691</v>
      </c>
      <c r="AT23" s="2">
        <f t="shared" ca="1" si="4"/>
        <v>2232653.5305096838</v>
      </c>
      <c r="AU23" s="2">
        <f t="shared" ca="1" si="4"/>
        <v>1386170.9381482205</v>
      </c>
      <c r="AV23" s="2">
        <f t="shared" ca="1" si="4"/>
        <v>2184302.8707854752</v>
      </c>
      <c r="AW23" s="2">
        <f t="shared" ca="1" si="4"/>
        <v>2176945.5519079934</v>
      </c>
      <c r="AX23" s="2">
        <f t="shared" ca="1" si="4"/>
        <v>2134236.4069480794</v>
      </c>
      <c r="AY23" s="2">
        <f t="shared" ca="1" si="4"/>
        <v>2546068.8523739842</v>
      </c>
      <c r="AZ23" s="2">
        <f t="shared" ca="1" si="4"/>
        <v>2537332.8101862371</v>
      </c>
      <c r="BA23" s="2">
        <f t="shared" ca="1" si="4"/>
        <v>2493165.0401493199</v>
      </c>
      <c r="BB23" s="2">
        <f t="shared" ca="1" si="4"/>
        <v>2903452.1261376329</v>
      </c>
      <c r="BC23" s="2">
        <f t="shared" ca="1" si="4"/>
        <v>2858076.6450577276</v>
      </c>
      <c r="BD23" s="2">
        <f t="shared" ca="1" si="4"/>
        <v>3267174.2677011169</v>
      </c>
      <c r="BE23" s="2">
        <f t="shared" ca="1" si="4"/>
        <v>3640623.6012510094</v>
      </c>
      <c r="BF23" s="2">
        <f t="shared" ca="1" si="4"/>
        <v>4048302.0541248927</v>
      </c>
      <c r="BG23" s="2">
        <f t="shared" ca="1" si="4"/>
        <v>3580336.8694019667</v>
      </c>
      <c r="BH23" s="2">
        <f t="shared" ca="1" si="4"/>
        <v>4371600.7346764756</v>
      </c>
      <c r="BI23" s="2">
        <f t="shared" ca="1" si="4"/>
        <v>4776958.8552371049</v>
      </c>
      <c r="BJ23" s="2">
        <f t="shared" ca="1" si="4"/>
        <v>4726540.5653172769</v>
      </c>
      <c r="BK23" s="2">
        <f t="shared" ca="1" si="4"/>
        <v>5095205.4561690865</v>
      </c>
      <c r="BL23" s="2">
        <f t="shared" ca="1" si="4"/>
        <v>5462807.8976498852</v>
      </c>
      <c r="BM23" s="2">
        <f t="shared" ca="1" si="4"/>
        <v>5444472.3575760517</v>
      </c>
      <c r="BN23" s="2">
        <f t="shared" ca="1" si="4"/>
        <v>5775046.5295526767</v>
      </c>
      <c r="BO23" s="2">
        <f t="shared" ca="1" si="4"/>
        <v>6594372.9051112784</v>
      </c>
      <c r="BP23" s="2">
        <f t="shared" ca="1" si="4"/>
        <v>6502568.150398057</v>
      </c>
      <c r="BQ23" s="2">
        <f t="shared" ca="1" si="4"/>
        <v>7284466.817497842</v>
      </c>
    </row>
    <row r="26" spans="1:69">
      <c r="B26" s="25" t="s">
        <v>177</v>
      </c>
    </row>
    <row r="27" spans="1:69" s="80" customFormat="1">
      <c r="A27" s="60"/>
      <c r="B27" s="60"/>
      <c r="C27" s="82"/>
      <c r="D27" s="85"/>
      <c r="E27" s="40" t="str">
        <f xml:space="preserve">  InpC!E$46</f>
        <v>Opening VAT balance</v>
      </c>
      <c r="F27" s="40">
        <f xml:space="preserve">  InpC!F$46</f>
        <v>0</v>
      </c>
      <c r="G27" s="40" t="str">
        <f xml:space="preserve">  InpC!G$46</f>
        <v>GBP</v>
      </c>
      <c r="M27" s="87"/>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288</v>
      </c>
      <c r="G29" s="47" t="s">
        <v>257</v>
      </c>
      <c r="J29" s="2">
        <f t="shared" ref="J29:BQ29" si="5" xml:space="preserve">  I32</f>
        <v>0</v>
      </c>
      <c r="K29" s="2">
        <f t="shared" ca="1" si="5"/>
        <v>-6700</v>
      </c>
      <c r="L29" s="2">
        <f t="shared" ca="1" si="5"/>
        <v>-13400</v>
      </c>
      <c r="M29" s="2">
        <f t="shared" ca="1" si="5"/>
        <v>91300</v>
      </c>
      <c r="N29" s="2">
        <f t="shared" ca="1" si="5"/>
        <v>98539.214314865443</v>
      </c>
      <c r="O29" s="2">
        <f t="shared" ca="1" si="5"/>
        <v>97378.428629730886</v>
      </c>
      <c r="P29" s="2">
        <f t="shared" ca="1" si="5"/>
        <v>68839.214314865443</v>
      </c>
      <c r="Q29" s="2">
        <f t="shared" ca="1" si="5"/>
        <v>403616.16498478944</v>
      </c>
      <c r="R29" s="2">
        <f t="shared" ca="1" si="5"/>
        <v>631993.11565471347</v>
      </c>
      <c r="S29" s="2">
        <f t="shared" ca="1" si="5"/>
        <v>74376.95066992403</v>
      </c>
      <c r="T29" s="2">
        <f t="shared" ca="1" si="5"/>
        <v>50690.123799579858</v>
      </c>
      <c r="U29" s="2">
        <f t="shared" ca="1" si="5"/>
        <v>867003.2969292358</v>
      </c>
      <c r="V29" s="2">
        <f t="shared" ca="1" si="5"/>
        <v>-23686.826870344114</v>
      </c>
      <c r="W29" s="2">
        <f t="shared" ca="1" si="5"/>
        <v>791314.44814811065</v>
      </c>
      <c r="X29" s="2">
        <f t="shared" ca="1" si="5"/>
        <v>1461967.2447645178</v>
      </c>
      <c r="Y29" s="2">
        <f t="shared" ca="1" si="5"/>
        <v>248302.15095403907</v>
      </c>
      <c r="Z29" s="2">
        <f t="shared" ca="1" si="5"/>
        <v>1095902.2181618491</v>
      </c>
      <c r="AA29" s="2">
        <f t="shared" ca="1" si="5"/>
        <v>1126177.8940359142</v>
      </c>
      <c r="AB29" s="2">
        <f t="shared" ca="1" si="5"/>
        <v>-18515.623776215827</v>
      </c>
      <c r="AC29" s="2">
        <f t="shared" ca="1" si="5"/>
        <v>332134.38678531407</v>
      </c>
      <c r="AD29" s="2">
        <f t="shared" ca="1" si="5"/>
        <v>477913.42386992206</v>
      </c>
      <c r="AE29" s="2">
        <f t="shared" ca="1" si="5"/>
        <v>94796.809735284187</v>
      </c>
      <c r="AF29" s="2">
        <f t="shared" ca="1" si="5"/>
        <v>404423.23431237251</v>
      </c>
      <c r="AG29" s="2">
        <f t="shared" ca="1" si="5"/>
        <v>1551824.6839187241</v>
      </c>
      <c r="AH29" s="2">
        <f t="shared" ca="1" si="5"/>
        <v>305044.1707389825</v>
      </c>
      <c r="AI29" s="2">
        <f t="shared" ca="1" si="5"/>
        <v>1863741.4577048789</v>
      </c>
      <c r="AJ29" s="2">
        <f t="shared" ca="1" si="5"/>
        <v>2821767.2882357761</v>
      </c>
      <c r="AK29" s="2">
        <f t="shared" ca="1" si="5"/>
        <v>856273.53846796881</v>
      </c>
      <c r="AL29" s="2">
        <f t="shared" ca="1" si="5"/>
        <v>1939353.6503707182</v>
      </c>
      <c r="AM29" s="2">
        <f t="shared" ca="1" si="5"/>
        <v>2615976.0760499444</v>
      </c>
      <c r="AN29" s="2">
        <f t="shared" ca="1" si="5"/>
        <v>626164.27815668099</v>
      </c>
      <c r="AO29" s="2">
        <f t="shared" ca="1" si="5"/>
        <v>1283721.3543661456</v>
      </c>
      <c r="AP29" s="2">
        <f t="shared" ca="1" si="5"/>
        <v>1894976.4836217663</v>
      </c>
      <c r="AQ29" s="2">
        <f t="shared" ca="1" si="5"/>
        <v>992290.67455697292</v>
      </c>
      <c r="AR29" s="2">
        <f t="shared" ca="1" si="5"/>
        <v>2015303.8579079534</v>
      </c>
      <c r="AS29" s="2">
        <f t="shared" ca="1" si="5"/>
        <v>3418867.0913174599</v>
      </c>
      <c r="AT29" s="2">
        <f t="shared" ca="1" si="5"/>
        <v>1398848.6756747691</v>
      </c>
      <c r="AU29" s="2">
        <f t="shared" ca="1" si="5"/>
        <v>3631502.2061844529</v>
      </c>
      <c r="AV29" s="2">
        <f t="shared" ca="1" si="5"/>
        <v>5017673.1443326734</v>
      </c>
      <c r="AW29" s="2">
        <f t="shared" ca="1" si="5"/>
        <v>2184302.8707854748</v>
      </c>
      <c r="AX29" s="2">
        <f t="shared" ca="1" si="5"/>
        <v>4361248.4226934686</v>
      </c>
      <c r="AY29" s="2">
        <f t="shared" ca="1" si="5"/>
        <v>6495484.829641548</v>
      </c>
      <c r="AZ29" s="2">
        <f t="shared" ca="1" si="5"/>
        <v>2546068.8523739846</v>
      </c>
      <c r="BA29" s="2">
        <f t="shared" ca="1" si="5"/>
        <v>5083401.6625602217</v>
      </c>
      <c r="BB29" s="2">
        <f t="shared" ca="1" si="5"/>
        <v>7576566.7027095417</v>
      </c>
      <c r="BC29" s="2">
        <f t="shared" ca="1" si="5"/>
        <v>2903452.1261376319</v>
      </c>
      <c r="BD29" s="2">
        <f t="shared" ca="1" si="5"/>
        <v>5761528.7711953595</v>
      </c>
      <c r="BE29" s="2">
        <f t="shared" ca="1" si="5"/>
        <v>9028703.0388964768</v>
      </c>
      <c r="BF29" s="2">
        <f t="shared" ca="1" si="5"/>
        <v>3640623.6012510099</v>
      </c>
      <c r="BG29" s="2">
        <f t="shared" ca="1" si="5"/>
        <v>7688925.6553759025</v>
      </c>
      <c r="BH29" s="2">
        <f t="shared" ca="1" si="5"/>
        <v>11269262.524777869</v>
      </c>
      <c r="BI29" s="2">
        <f t="shared" ca="1" si="5"/>
        <v>4371600.7346764747</v>
      </c>
      <c r="BJ29" s="2">
        <f t="shared" ca="1" si="5"/>
        <v>9148559.5899135806</v>
      </c>
      <c r="BK29" s="2">
        <f t="shared" ca="1" si="5"/>
        <v>13875100.155230857</v>
      </c>
      <c r="BL29" s="2">
        <f t="shared" ca="1" si="5"/>
        <v>5095205.4561690874</v>
      </c>
      <c r="BM29" s="2">
        <f t="shared" ca="1" si="5"/>
        <v>10558013.353818972</v>
      </c>
      <c r="BN29" s="2">
        <f t="shared" ca="1" si="5"/>
        <v>16002485.711395023</v>
      </c>
      <c r="BO29" s="2">
        <f t="shared" ca="1" si="5"/>
        <v>5775046.5295526776</v>
      </c>
      <c r="BP29" s="2">
        <f t="shared" ca="1" si="5"/>
        <v>12369419.434663955</v>
      </c>
      <c r="BQ29" s="2">
        <f t="shared" ca="1" si="5"/>
        <v>18871987.585062012</v>
      </c>
    </row>
    <row r="30" spans="1:69">
      <c r="D30" s="94" t="s">
        <v>220</v>
      </c>
      <c r="E30" s="2" t="str">
        <f t="shared" ref="E30:BQ30" si="6" xml:space="preserve">  E$23</f>
        <v>VAT due</v>
      </c>
      <c r="F30" s="2">
        <f t="shared" si="6"/>
        <v>0</v>
      </c>
      <c r="G30" s="2" t="str">
        <f t="shared" si="6"/>
        <v>GBP</v>
      </c>
      <c r="H30" s="2">
        <f t="shared" ca="1" si="6"/>
        <v>112374175.53657156</v>
      </c>
      <c r="I30" s="2">
        <f t="shared" si="6"/>
        <v>0</v>
      </c>
      <c r="J30" s="2">
        <f t="shared" ca="1" si="6"/>
        <v>-6700</v>
      </c>
      <c r="K30" s="2">
        <f t="shared" ca="1" si="6"/>
        <v>-6700</v>
      </c>
      <c r="L30" s="2">
        <f t="shared" ca="1" si="6"/>
        <v>91300</v>
      </c>
      <c r="M30" s="2">
        <f t="shared" ca="1" si="6"/>
        <v>7239.2143148654432</v>
      </c>
      <c r="N30" s="2">
        <f t="shared" ca="1" si="6"/>
        <v>-1160.7856851345568</v>
      </c>
      <c r="O30" s="2">
        <f t="shared" ca="1" si="6"/>
        <v>68839.214314865443</v>
      </c>
      <c r="P30" s="2">
        <f t="shared" ca="1" si="6"/>
        <v>334776.95066992397</v>
      </c>
      <c r="Q30" s="2">
        <f t="shared" ca="1" si="6"/>
        <v>228376.95066992397</v>
      </c>
      <c r="R30" s="2">
        <f t="shared" ca="1" si="6"/>
        <v>74376.950669923986</v>
      </c>
      <c r="S30" s="2">
        <f t="shared" ca="1" si="6"/>
        <v>-23686.826870344172</v>
      </c>
      <c r="T30" s="2">
        <f t="shared" ca="1" si="6"/>
        <v>816313.17312965589</v>
      </c>
      <c r="U30" s="2">
        <f t="shared" ca="1" si="6"/>
        <v>-23686.826870344172</v>
      </c>
      <c r="V30" s="2">
        <f t="shared" ca="1" si="6"/>
        <v>815001.27501845476</v>
      </c>
      <c r="W30" s="2">
        <f t="shared" ca="1" si="6"/>
        <v>670652.79661640711</v>
      </c>
      <c r="X30" s="2">
        <f t="shared" ca="1" si="6"/>
        <v>248302.15095403895</v>
      </c>
      <c r="Y30" s="2">
        <f t="shared" ca="1" si="6"/>
        <v>847600.06720781</v>
      </c>
      <c r="Z30" s="2">
        <f t="shared" ca="1" si="6"/>
        <v>30275.675874065171</v>
      </c>
      <c r="AA30" s="2">
        <f t="shared" ca="1" si="6"/>
        <v>-18515.623776215871</v>
      </c>
      <c r="AB30" s="2">
        <f t="shared" ca="1" si="6"/>
        <v>350650.0105615299</v>
      </c>
      <c r="AC30" s="2">
        <f t="shared" ca="1" si="6"/>
        <v>145779.03708460799</v>
      </c>
      <c r="AD30" s="2">
        <f t="shared" ca="1" si="6"/>
        <v>94796.809735284172</v>
      </c>
      <c r="AE30" s="2">
        <f t="shared" ca="1" si="6"/>
        <v>309626.42457708833</v>
      </c>
      <c r="AF30" s="2">
        <f t="shared" ca="1" si="6"/>
        <v>1147401.4496063516</v>
      </c>
      <c r="AG30" s="2">
        <f t="shared" ca="1" si="6"/>
        <v>305044.17073898256</v>
      </c>
      <c r="AH30" s="2">
        <f t="shared" ca="1" si="6"/>
        <v>1558697.2869658964</v>
      </c>
      <c r="AI30" s="2">
        <f t="shared" ca="1" si="6"/>
        <v>958025.83053089702</v>
      </c>
      <c r="AJ30" s="2">
        <f t="shared" ca="1" si="6"/>
        <v>856273.5384679687</v>
      </c>
      <c r="AK30" s="2">
        <f t="shared" ca="1" si="6"/>
        <v>1083080.1119027494</v>
      </c>
      <c r="AL30" s="2">
        <f t="shared" ca="1" si="6"/>
        <v>676622.42567922617</v>
      </c>
      <c r="AM30" s="2">
        <f t="shared" ca="1" si="6"/>
        <v>626164.27815668075</v>
      </c>
      <c r="AN30" s="2">
        <f t="shared" ca="1" si="6"/>
        <v>657557.07620946446</v>
      </c>
      <c r="AO30" s="2">
        <f t="shared" ca="1" si="6"/>
        <v>611255.12925562076</v>
      </c>
      <c r="AP30" s="2">
        <f t="shared" ca="1" si="6"/>
        <v>992290.67455697316</v>
      </c>
      <c r="AQ30" s="2">
        <f t="shared" ca="1" si="6"/>
        <v>1023013.1833509805</v>
      </c>
      <c r="AR30" s="2">
        <f t="shared" ca="1" si="6"/>
        <v>1403563.2334095067</v>
      </c>
      <c r="AS30" s="2">
        <f t="shared" ca="1" si="6"/>
        <v>1398848.6756747691</v>
      </c>
      <c r="AT30" s="2">
        <f t="shared" ca="1" si="6"/>
        <v>2232653.5305096838</v>
      </c>
      <c r="AU30" s="2">
        <f t="shared" ca="1" si="6"/>
        <v>1386170.9381482205</v>
      </c>
      <c r="AV30" s="2">
        <f t="shared" ca="1" si="6"/>
        <v>2184302.8707854752</v>
      </c>
      <c r="AW30" s="2">
        <f t="shared" ca="1" si="6"/>
        <v>2176945.5519079934</v>
      </c>
      <c r="AX30" s="2">
        <f t="shared" ca="1" si="6"/>
        <v>2134236.4069480794</v>
      </c>
      <c r="AY30" s="2">
        <f t="shared" ca="1" si="6"/>
        <v>2546068.8523739842</v>
      </c>
      <c r="AZ30" s="2">
        <f t="shared" ca="1" si="6"/>
        <v>2537332.8101862371</v>
      </c>
      <c r="BA30" s="2">
        <f t="shared" ca="1" si="6"/>
        <v>2493165.0401493199</v>
      </c>
      <c r="BB30" s="2">
        <f t="shared" ca="1" si="6"/>
        <v>2903452.1261376329</v>
      </c>
      <c r="BC30" s="2">
        <f t="shared" ca="1" si="6"/>
        <v>2858076.6450577276</v>
      </c>
      <c r="BD30" s="2">
        <f t="shared" ca="1" si="6"/>
        <v>3267174.2677011169</v>
      </c>
      <c r="BE30" s="2">
        <f t="shared" ca="1" si="6"/>
        <v>3640623.6012510094</v>
      </c>
      <c r="BF30" s="2">
        <f t="shared" ca="1" si="6"/>
        <v>4048302.0541248927</v>
      </c>
      <c r="BG30" s="2">
        <f t="shared" ca="1" si="6"/>
        <v>3580336.8694019667</v>
      </c>
      <c r="BH30" s="2">
        <f t="shared" ca="1" si="6"/>
        <v>4371600.7346764756</v>
      </c>
      <c r="BI30" s="2">
        <f t="shared" ca="1" si="6"/>
        <v>4776958.8552371049</v>
      </c>
      <c r="BJ30" s="2">
        <f t="shared" ca="1" si="6"/>
        <v>4726540.5653172769</v>
      </c>
      <c r="BK30" s="2">
        <f t="shared" ca="1" si="6"/>
        <v>5095205.4561690865</v>
      </c>
      <c r="BL30" s="2">
        <f t="shared" ca="1" si="6"/>
        <v>5462807.8976498852</v>
      </c>
      <c r="BM30" s="2">
        <f t="shared" ca="1" si="6"/>
        <v>5444472.3575760517</v>
      </c>
      <c r="BN30" s="2">
        <f t="shared" ca="1" si="6"/>
        <v>5775046.5295526767</v>
      </c>
      <c r="BO30" s="2">
        <f t="shared" ca="1" si="6"/>
        <v>6594372.9051112784</v>
      </c>
      <c r="BP30" s="2">
        <f t="shared" ca="1" si="6"/>
        <v>6502568.150398057</v>
      </c>
      <c r="BQ30" s="2">
        <f t="shared" ca="1" si="6"/>
        <v>7284466.817497842</v>
      </c>
    </row>
    <row r="31" spans="1:69">
      <c r="D31" s="94" t="s">
        <v>299</v>
      </c>
      <c r="E31" s="2" t="str">
        <f t="shared" ref="E31:BQ31" si="7" xml:space="preserve">  E$37</f>
        <v>VAT paid POS</v>
      </c>
      <c r="F31" s="2">
        <f t="shared" si="7"/>
        <v>0</v>
      </c>
      <c r="G31" s="2" t="str">
        <f t="shared" si="7"/>
        <v>GBP</v>
      </c>
      <c r="H31" s="2">
        <f t="shared" ca="1" si="7"/>
        <v>105089708.7190737</v>
      </c>
      <c r="I31" s="2">
        <f t="shared" si="7"/>
        <v>0</v>
      </c>
      <c r="J31" s="2">
        <f t="shared" ca="1" si="7"/>
        <v>0</v>
      </c>
      <c r="K31" s="2">
        <f t="shared" ca="1" si="7"/>
        <v>0</v>
      </c>
      <c r="L31" s="2">
        <f t="shared" ca="1" si="7"/>
        <v>-13400</v>
      </c>
      <c r="M31" s="2">
        <f t="shared" ca="1" si="7"/>
        <v>0</v>
      </c>
      <c r="N31" s="2">
        <f t="shared" ca="1" si="7"/>
        <v>0</v>
      </c>
      <c r="O31" s="2">
        <f t="shared" ca="1" si="7"/>
        <v>97378.428629730886</v>
      </c>
      <c r="P31" s="2">
        <f t="shared" ca="1" si="7"/>
        <v>0</v>
      </c>
      <c r="Q31" s="2">
        <f t="shared" ca="1" si="7"/>
        <v>0</v>
      </c>
      <c r="R31" s="2">
        <f t="shared" ca="1" si="7"/>
        <v>631993.11565471347</v>
      </c>
      <c r="S31" s="2">
        <f t="shared" ca="1" si="7"/>
        <v>0</v>
      </c>
      <c r="T31" s="2">
        <f t="shared" ca="1" si="7"/>
        <v>0</v>
      </c>
      <c r="U31" s="2">
        <f t="shared" ca="1" si="7"/>
        <v>867003.2969292358</v>
      </c>
      <c r="V31" s="2">
        <f t="shared" ca="1" si="7"/>
        <v>0</v>
      </c>
      <c r="W31" s="2">
        <f t="shared" ca="1" si="7"/>
        <v>0</v>
      </c>
      <c r="X31" s="2">
        <f t="shared" ca="1" si="7"/>
        <v>1461967.2447645178</v>
      </c>
      <c r="Y31" s="2">
        <f t="shared" ca="1" si="7"/>
        <v>0</v>
      </c>
      <c r="Z31" s="2">
        <f t="shared" ca="1" si="7"/>
        <v>0</v>
      </c>
      <c r="AA31" s="2">
        <f t="shared" ca="1" si="7"/>
        <v>1126177.8940359142</v>
      </c>
      <c r="AB31" s="2">
        <f t="shared" ca="1" si="7"/>
        <v>0</v>
      </c>
      <c r="AC31" s="2">
        <f t="shared" ca="1" si="7"/>
        <v>0</v>
      </c>
      <c r="AD31" s="2">
        <f t="shared" ca="1" si="7"/>
        <v>477913.42386992206</v>
      </c>
      <c r="AE31" s="2">
        <f t="shared" ca="1" si="7"/>
        <v>0</v>
      </c>
      <c r="AF31" s="2">
        <f t="shared" ca="1" si="7"/>
        <v>0</v>
      </c>
      <c r="AG31" s="2">
        <f t="shared" ca="1" si="7"/>
        <v>1551824.6839187241</v>
      </c>
      <c r="AH31" s="2">
        <f t="shared" ca="1" si="7"/>
        <v>0</v>
      </c>
      <c r="AI31" s="2">
        <f t="shared" ca="1" si="7"/>
        <v>0</v>
      </c>
      <c r="AJ31" s="2">
        <f t="shared" ca="1" si="7"/>
        <v>2821767.2882357761</v>
      </c>
      <c r="AK31" s="2">
        <f t="shared" ca="1" si="7"/>
        <v>0</v>
      </c>
      <c r="AL31" s="2">
        <f t="shared" ca="1" si="7"/>
        <v>0</v>
      </c>
      <c r="AM31" s="2">
        <f t="shared" ca="1" si="7"/>
        <v>2615976.0760499444</v>
      </c>
      <c r="AN31" s="2">
        <f t="shared" ca="1" si="7"/>
        <v>0</v>
      </c>
      <c r="AO31" s="2">
        <f t="shared" ca="1" si="7"/>
        <v>0</v>
      </c>
      <c r="AP31" s="2">
        <f t="shared" ca="1" si="7"/>
        <v>1894976.4836217663</v>
      </c>
      <c r="AQ31" s="2">
        <f t="shared" ca="1" si="7"/>
        <v>0</v>
      </c>
      <c r="AR31" s="2">
        <f t="shared" ca="1" si="7"/>
        <v>0</v>
      </c>
      <c r="AS31" s="2">
        <f t="shared" ca="1" si="7"/>
        <v>3418867.0913174599</v>
      </c>
      <c r="AT31" s="2">
        <f t="shared" ca="1" si="7"/>
        <v>0</v>
      </c>
      <c r="AU31" s="2">
        <f t="shared" ca="1" si="7"/>
        <v>0</v>
      </c>
      <c r="AV31" s="2">
        <f t="shared" ca="1" si="7"/>
        <v>5017673.1443326734</v>
      </c>
      <c r="AW31" s="2">
        <f t="shared" ca="1" si="7"/>
        <v>0</v>
      </c>
      <c r="AX31" s="2">
        <f t="shared" ca="1" si="7"/>
        <v>0</v>
      </c>
      <c r="AY31" s="2">
        <f t="shared" ca="1" si="7"/>
        <v>6495484.829641548</v>
      </c>
      <c r="AZ31" s="2">
        <f t="shared" ca="1" si="7"/>
        <v>0</v>
      </c>
      <c r="BA31" s="2">
        <f t="shared" ca="1" si="7"/>
        <v>0</v>
      </c>
      <c r="BB31" s="2">
        <f t="shared" ca="1" si="7"/>
        <v>7576566.7027095417</v>
      </c>
      <c r="BC31" s="2">
        <f t="shared" ca="1" si="7"/>
        <v>0</v>
      </c>
      <c r="BD31" s="2">
        <f t="shared" ca="1" si="7"/>
        <v>0</v>
      </c>
      <c r="BE31" s="2">
        <f t="shared" ca="1" si="7"/>
        <v>9028703.0388964768</v>
      </c>
      <c r="BF31" s="2">
        <f t="shared" ca="1" si="7"/>
        <v>0</v>
      </c>
      <c r="BG31" s="2">
        <f t="shared" ca="1" si="7"/>
        <v>0</v>
      </c>
      <c r="BH31" s="2">
        <f t="shared" ca="1" si="7"/>
        <v>11269262.524777869</v>
      </c>
      <c r="BI31" s="2">
        <f t="shared" ca="1" si="7"/>
        <v>0</v>
      </c>
      <c r="BJ31" s="2">
        <f t="shared" ca="1" si="7"/>
        <v>0</v>
      </c>
      <c r="BK31" s="2">
        <f t="shared" ca="1" si="7"/>
        <v>13875100.155230857</v>
      </c>
      <c r="BL31" s="2">
        <f t="shared" ca="1" si="7"/>
        <v>0</v>
      </c>
      <c r="BM31" s="2">
        <f t="shared" ca="1" si="7"/>
        <v>0</v>
      </c>
      <c r="BN31" s="2">
        <f t="shared" ca="1" si="7"/>
        <v>16002485.711395023</v>
      </c>
      <c r="BO31" s="2">
        <f t="shared" ca="1" si="7"/>
        <v>0</v>
      </c>
      <c r="BP31" s="2">
        <f t="shared" ca="1" si="7"/>
        <v>0</v>
      </c>
      <c r="BQ31" s="2">
        <f t="shared" ca="1" si="7"/>
        <v>18871987.585062012</v>
      </c>
    </row>
    <row r="32" spans="1:69" s="86" customFormat="1">
      <c r="A32" s="63"/>
      <c r="B32" s="63"/>
      <c r="C32" s="89"/>
      <c r="D32" s="91"/>
      <c r="E32" s="33" t="s">
        <v>177</v>
      </c>
      <c r="F32" s="33"/>
      <c r="G32" s="33" t="s">
        <v>257</v>
      </c>
      <c r="H32" s="33"/>
      <c r="I32" s="11">
        <f t="shared" ref="I32:BQ32" si="8" xml:space="preserve">  IF( I28 = 0, $F27, I29 + I30 - I31 )</f>
        <v>0</v>
      </c>
      <c r="J32" s="11">
        <f t="shared" ca="1" si="8"/>
        <v>-6700</v>
      </c>
      <c r="K32" s="11">
        <f t="shared" ca="1" si="8"/>
        <v>-13400</v>
      </c>
      <c r="L32" s="11">
        <f t="shared" ca="1" si="8"/>
        <v>91300</v>
      </c>
      <c r="M32" s="11">
        <f t="shared" ca="1" si="8"/>
        <v>98539.214314865443</v>
      </c>
      <c r="N32" s="11">
        <f t="shared" ca="1" si="8"/>
        <v>97378.428629730886</v>
      </c>
      <c r="O32" s="11">
        <f t="shared" ca="1" si="8"/>
        <v>68839.214314865443</v>
      </c>
      <c r="P32" s="11">
        <f t="shared" ca="1" si="8"/>
        <v>403616.16498478944</v>
      </c>
      <c r="Q32" s="11">
        <f t="shared" ca="1" si="8"/>
        <v>631993.11565471347</v>
      </c>
      <c r="R32" s="11">
        <f t="shared" ca="1" si="8"/>
        <v>74376.95066992403</v>
      </c>
      <c r="S32" s="11">
        <f t="shared" ca="1" si="8"/>
        <v>50690.123799579858</v>
      </c>
      <c r="T32" s="11">
        <f t="shared" ca="1" si="8"/>
        <v>867003.2969292358</v>
      </c>
      <c r="U32" s="11">
        <f t="shared" ca="1" si="8"/>
        <v>-23686.826870344114</v>
      </c>
      <c r="V32" s="11">
        <f t="shared" ca="1" si="8"/>
        <v>791314.44814811065</v>
      </c>
      <c r="W32" s="11">
        <f t="shared" ca="1" si="8"/>
        <v>1461967.2447645178</v>
      </c>
      <c r="X32" s="11">
        <f t="shared" ca="1" si="8"/>
        <v>248302.15095403907</v>
      </c>
      <c r="Y32" s="11">
        <f t="shared" ca="1" si="8"/>
        <v>1095902.2181618491</v>
      </c>
      <c r="Z32" s="11">
        <f t="shared" ca="1" si="8"/>
        <v>1126177.8940359142</v>
      </c>
      <c r="AA32" s="11">
        <f t="shared" ca="1" si="8"/>
        <v>-18515.623776215827</v>
      </c>
      <c r="AB32" s="11">
        <f t="shared" ca="1" si="8"/>
        <v>332134.38678531407</v>
      </c>
      <c r="AC32" s="11">
        <f t="shared" ca="1" si="8"/>
        <v>477913.42386992206</v>
      </c>
      <c r="AD32" s="11">
        <f t="shared" ca="1" si="8"/>
        <v>94796.809735284187</v>
      </c>
      <c r="AE32" s="11">
        <f t="shared" ca="1" si="8"/>
        <v>404423.23431237251</v>
      </c>
      <c r="AF32" s="11">
        <f t="shared" ca="1" si="8"/>
        <v>1551824.6839187241</v>
      </c>
      <c r="AG32" s="11">
        <f t="shared" ca="1" si="8"/>
        <v>305044.1707389825</v>
      </c>
      <c r="AH32" s="11">
        <f t="shared" ca="1" si="8"/>
        <v>1863741.4577048789</v>
      </c>
      <c r="AI32" s="11">
        <f t="shared" ca="1" si="8"/>
        <v>2821767.2882357761</v>
      </c>
      <c r="AJ32" s="11">
        <f t="shared" ca="1" si="8"/>
        <v>856273.53846796881</v>
      </c>
      <c r="AK32" s="11">
        <f t="shared" ca="1" si="8"/>
        <v>1939353.6503707182</v>
      </c>
      <c r="AL32" s="11">
        <f t="shared" ca="1" si="8"/>
        <v>2615976.0760499444</v>
      </c>
      <c r="AM32" s="11">
        <f t="shared" ca="1" si="8"/>
        <v>626164.27815668099</v>
      </c>
      <c r="AN32" s="11">
        <f t="shared" ca="1" si="8"/>
        <v>1283721.3543661456</v>
      </c>
      <c r="AO32" s="11">
        <f t="shared" ca="1" si="8"/>
        <v>1894976.4836217663</v>
      </c>
      <c r="AP32" s="11">
        <f t="shared" ca="1" si="8"/>
        <v>992290.67455697292</v>
      </c>
      <c r="AQ32" s="11">
        <f t="shared" ca="1" si="8"/>
        <v>2015303.8579079534</v>
      </c>
      <c r="AR32" s="11">
        <f t="shared" ca="1" si="8"/>
        <v>3418867.0913174599</v>
      </c>
      <c r="AS32" s="11">
        <f t="shared" ca="1" si="8"/>
        <v>1398848.6756747691</v>
      </c>
      <c r="AT32" s="11">
        <f t="shared" ca="1" si="8"/>
        <v>3631502.2061844529</v>
      </c>
      <c r="AU32" s="11">
        <f t="shared" ca="1" si="8"/>
        <v>5017673.1443326734</v>
      </c>
      <c r="AV32" s="11">
        <f t="shared" ca="1" si="8"/>
        <v>2184302.8707854748</v>
      </c>
      <c r="AW32" s="11">
        <f t="shared" ca="1" si="8"/>
        <v>4361248.4226934686</v>
      </c>
      <c r="AX32" s="11">
        <f t="shared" ca="1" si="8"/>
        <v>6495484.829641548</v>
      </c>
      <c r="AY32" s="11">
        <f t="shared" ca="1" si="8"/>
        <v>2546068.8523739846</v>
      </c>
      <c r="AZ32" s="11">
        <f t="shared" ca="1" si="8"/>
        <v>5083401.6625602217</v>
      </c>
      <c r="BA32" s="11">
        <f t="shared" ca="1" si="8"/>
        <v>7576566.7027095417</v>
      </c>
      <c r="BB32" s="11">
        <f t="shared" ca="1" si="8"/>
        <v>2903452.1261376319</v>
      </c>
      <c r="BC32" s="11">
        <f t="shared" ca="1" si="8"/>
        <v>5761528.7711953595</v>
      </c>
      <c r="BD32" s="11">
        <f t="shared" ca="1" si="8"/>
        <v>9028703.0388964768</v>
      </c>
      <c r="BE32" s="11">
        <f t="shared" ca="1" si="8"/>
        <v>3640623.6012510099</v>
      </c>
      <c r="BF32" s="11">
        <f t="shared" ca="1" si="8"/>
        <v>7688925.6553759025</v>
      </c>
      <c r="BG32" s="11">
        <f t="shared" ca="1" si="8"/>
        <v>11269262.524777869</v>
      </c>
      <c r="BH32" s="11">
        <f t="shared" ca="1" si="8"/>
        <v>4371600.7346764747</v>
      </c>
      <c r="BI32" s="11">
        <f t="shared" ca="1" si="8"/>
        <v>9148559.5899135806</v>
      </c>
      <c r="BJ32" s="11">
        <f t="shared" ca="1" si="8"/>
        <v>13875100.155230857</v>
      </c>
      <c r="BK32" s="11">
        <f t="shared" ca="1" si="8"/>
        <v>5095205.4561690874</v>
      </c>
      <c r="BL32" s="11">
        <f t="shared" ca="1" si="8"/>
        <v>10558013.353818972</v>
      </c>
      <c r="BM32" s="11">
        <f t="shared" ca="1" si="8"/>
        <v>16002485.711395023</v>
      </c>
      <c r="BN32" s="11">
        <f t="shared" ca="1" si="8"/>
        <v>5775046.5295526776</v>
      </c>
      <c r="BO32" s="11">
        <f t="shared" ca="1" si="8"/>
        <v>12369419.434663955</v>
      </c>
      <c r="BP32" s="11">
        <f t="shared" ca="1" si="8"/>
        <v>18871987.585062012</v>
      </c>
      <c r="BQ32" s="11">
        <f t="shared" ca="1" si="8"/>
        <v>7284466.817497842</v>
      </c>
    </row>
    <row r="34" spans="1:69">
      <c r="B34" s="25" t="s">
        <v>267</v>
      </c>
    </row>
    <row r="35" spans="1:69" outlineLevel="1">
      <c r="E35" s="2" t="str">
        <f t="shared" ref="E35:G35" si="9" xml:space="preserve">  E$44</f>
        <v>VAT payment delay</v>
      </c>
      <c r="F35" s="2">
        <f t="shared" si="9"/>
        <v>1</v>
      </c>
      <c r="G35" s="2" t="str">
        <f t="shared" si="9"/>
        <v>period</v>
      </c>
      <c r="M35" s="2"/>
    </row>
    <row r="36" spans="1:69" outlineLevel="1">
      <c r="E36" s="2" t="str">
        <f t="shared" ref="E36:BQ36" si="10" xml:space="preserve">  E$51</f>
        <v>VAT quarterly return</v>
      </c>
      <c r="F36" s="2">
        <f t="shared" si="10"/>
        <v>0</v>
      </c>
      <c r="G36" s="2" t="str">
        <f t="shared" si="10"/>
        <v>GBP</v>
      </c>
      <c r="H36" s="2">
        <f t="shared" ca="1" si="10"/>
        <v>105089708.7190737</v>
      </c>
      <c r="I36" s="2">
        <f t="shared" si="10"/>
        <v>0</v>
      </c>
      <c r="J36" s="2">
        <f t="shared" ca="1" si="10"/>
        <v>0</v>
      </c>
      <c r="K36" s="2">
        <f t="shared" ca="1" si="10"/>
        <v>-13400</v>
      </c>
      <c r="L36" s="2">
        <f t="shared" ca="1" si="10"/>
        <v>0</v>
      </c>
      <c r="M36" s="2">
        <f t="shared" ca="1" si="10"/>
        <v>0</v>
      </c>
      <c r="N36" s="2">
        <f t="shared" ca="1" si="10"/>
        <v>97378.428629730886</v>
      </c>
      <c r="O36" s="2">
        <f t="shared" ca="1" si="10"/>
        <v>0</v>
      </c>
      <c r="P36" s="2">
        <f t="shared" ca="1" si="10"/>
        <v>0</v>
      </c>
      <c r="Q36" s="2">
        <f t="shared" ca="1" si="10"/>
        <v>631993.11565471347</v>
      </c>
      <c r="R36" s="2">
        <f t="shared" ca="1" si="10"/>
        <v>0</v>
      </c>
      <c r="S36" s="2">
        <f t="shared" ca="1" si="10"/>
        <v>0</v>
      </c>
      <c r="T36" s="2">
        <f t="shared" ca="1" si="10"/>
        <v>867003.2969292358</v>
      </c>
      <c r="U36" s="2">
        <f t="shared" ca="1" si="10"/>
        <v>0</v>
      </c>
      <c r="V36" s="2">
        <f t="shared" ca="1" si="10"/>
        <v>0</v>
      </c>
      <c r="W36" s="2">
        <f t="shared" ca="1" si="10"/>
        <v>1461967.2447645178</v>
      </c>
      <c r="X36" s="2">
        <f t="shared" ca="1" si="10"/>
        <v>0</v>
      </c>
      <c r="Y36" s="2">
        <f t="shared" ca="1" si="10"/>
        <v>0</v>
      </c>
      <c r="Z36" s="2">
        <f t="shared" ca="1" si="10"/>
        <v>1126177.8940359142</v>
      </c>
      <c r="AA36" s="2">
        <f t="shared" ca="1" si="10"/>
        <v>0</v>
      </c>
      <c r="AB36" s="2">
        <f t="shared" ca="1" si="10"/>
        <v>0</v>
      </c>
      <c r="AC36" s="2">
        <f t="shared" ca="1" si="10"/>
        <v>477913.42386992206</v>
      </c>
      <c r="AD36" s="2">
        <f t="shared" ca="1" si="10"/>
        <v>0</v>
      </c>
      <c r="AE36" s="2">
        <f t="shared" ca="1" si="10"/>
        <v>0</v>
      </c>
      <c r="AF36" s="2">
        <f t="shared" ca="1" si="10"/>
        <v>1551824.6839187241</v>
      </c>
      <c r="AG36" s="2">
        <f t="shared" ca="1" si="10"/>
        <v>0</v>
      </c>
      <c r="AH36" s="2">
        <f t="shared" ca="1" si="10"/>
        <v>0</v>
      </c>
      <c r="AI36" s="2">
        <f t="shared" ca="1" si="10"/>
        <v>2821767.2882357761</v>
      </c>
      <c r="AJ36" s="2">
        <f t="shared" ca="1" si="10"/>
        <v>0</v>
      </c>
      <c r="AK36" s="2">
        <f t="shared" ca="1" si="10"/>
        <v>0</v>
      </c>
      <c r="AL36" s="2">
        <f t="shared" ca="1" si="10"/>
        <v>2615976.0760499444</v>
      </c>
      <c r="AM36" s="2">
        <f t="shared" ca="1" si="10"/>
        <v>0</v>
      </c>
      <c r="AN36" s="2">
        <f t="shared" ca="1" si="10"/>
        <v>0</v>
      </c>
      <c r="AO36" s="2">
        <f t="shared" ca="1" si="10"/>
        <v>1894976.4836217663</v>
      </c>
      <c r="AP36" s="2">
        <f t="shared" ca="1" si="10"/>
        <v>0</v>
      </c>
      <c r="AQ36" s="2">
        <f t="shared" ca="1" si="10"/>
        <v>0</v>
      </c>
      <c r="AR36" s="2">
        <f t="shared" ca="1" si="10"/>
        <v>3418867.0913174599</v>
      </c>
      <c r="AS36" s="2">
        <f t="shared" ca="1" si="10"/>
        <v>0</v>
      </c>
      <c r="AT36" s="2">
        <f t="shared" ca="1" si="10"/>
        <v>0</v>
      </c>
      <c r="AU36" s="2">
        <f t="shared" ca="1" si="10"/>
        <v>5017673.1443326734</v>
      </c>
      <c r="AV36" s="2">
        <f t="shared" ca="1" si="10"/>
        <v>0</v>
      </c>
      <c r="AW36" s="2">
        <f t="shared" ca="1" si="10"/>
        <v>0</v>
      </c>
      <c r="AX36" s="2">
        <f t="shared" ca="1" si="10"/>
        <v>6495484.829641548</v>
      </c>
      <c r="AY36" s="2">
        <f t="shared" ca="1" si="10"/>
        <v>0</v>
      </c>
      <c r="AZ36" s="2">
        <f t="shared" ca="1" si="10"/>
        <v>0</v>
      </c>
      <c r="BA36" s="2">
        <f t="shared" ca="1" si="10"/>
        <v>7576566.7027095417</v>
      </c>
      <c r="BB36" s="2">
        <f t="shared" ca="1" si="10"/>
        <v>0</v>
      </c>
      <c r="BC36" s="2">
        <f t="shared" ca="1" si="10"/>
        <v>0</v>
      </c>
      <c r="BD36" s="2">
        <f t="shared" ca="1" si="10"/>
        <v>9028703.0388964768</v>
      </c>
      <c r="BE36" s="2">
        <f t="shared" ca="1" si="10"/>
        <v>0</v>
      </c>
      <c r="BF36" s="2">
        <f t="shared" ca="1" si="10"/>
        <v>0</v>
      </c>
      <c r="BG36" s="2">
        <f t="shared" ca="1" si="10"/>
        <v>11269262.524777869</v>
      </c>
      <c r="BH36" s="2">
        <f t="shared" ca="1" si="10"/>
        <v>0</v>
      </c>
      <c r="BI36" s="2">
        <f t="shared" ca="1" si="10"/>
        <v>0</v>
      </c>
      <c r="BJ36" s="2">
        <f t="shared" ca="1" si="10"/>
        <v>13875100.155230857</v>
      </c>
      <c r="BK36" s="2">
        <f t="shared" ca="1" si="10"/>
        <v>0</v>
      </c>
      <c r="BL36" s="2">
        <f t="shared" ca="1" si="10"/>
        <v>0</v>
      </c>
      <c r="BM36" s="2">
        <f t="shared" ca="1" si="10"/>
        <v>16002485.711395023</v>
      </c>
      <c r="BN36" s="2">
        <f t="shared" ca="1" si="10"/>
        <v>0</v>
      </c>
      <c r="BO36" s="2">
        <f t="shared" ca="1" si="10"/>
        <v>0</v>
      </c>
      <c r="BP36" s="2">
        <f t="shared" ca="1" si="10"/>
        <v>18871987.585062012</v>
      </c>
      <c r="BQ36" s="2">
        <f t="shared" ca="1" si="10"/>
        <v>0</v>
      </c>
    </row>
    <row r="37" spans="1:69" outlineLevel="1">
      <c r="E37" s="47" t="s">
        <v>270</v>
      </c>
      <c r="G37" s="47" t="s">
        <v>257</v>
      </c>
      <c r="H37" s="2">
        <f t="shared" ref="H37:H38" ca="1" si="11" xml:space="preserve"> SUM( J37:BQ37 )</f>
        <v>105089708.7190737</v>
      </c>
      <c r="J37" s="2">
        <f ca="1" xml:space="preserve">  IF( Time!J28 &lt; 1 + $F35, 0, OFFSET( J36, 0, - 1 * ( $F35 ) ) )</f>
        <v>0</v>
      </c>
      <c r="K37" s="2">
        <f ca="1" xml:space="preserve">  IF( Time!K28 &lt; 1 + $F35, 0, OFFSET( K36, 0, - 1 * ( $F35 ) ) )</f>
        <v>0</v>
      </c>
      <c r="L37" s="2">
        <f ca="1" xml:space="preserve">  IF( Time!L28 &lt; 1 + $F35, 0, OFFSET( L36, 0, - 1 * ( $F35 ) ) )</f>
        <v>-13400</v>
      </c>
      <c r="M37" s="2">
        <f ca="1" xml:space="preserve">  IF( Time!M28 &lt; 1 + $F35, 0, OFFSET( M36, 0, - 1 * ( $F35 ) ) )</f>
        <v>0</v>
      </c>
      <c r="N37" s="2">
        <f ca="1" xml:space="preserve">  IF( Time!N28 &lt; 1 + $F35, 0, OFFSET( N36, 0, - 1 * ( $F35 ) ) )</f>
        <v>0</v>
      </c>
      <c r="O37" s="2">
        <f ca="1" xml:space="preserve">  IF( Time!O28 &lt; 1 + $F35, 0, OFFSET( O36, 0, - 1 * ( $F35 ) ) )</f>
        <v>97378.428629730886</v>
      </c>
      <c r="P37" s="2">
        <f ca="1" xml:space="preserve">  IF( Time!P28 &lt; 1 + $F35, 0, OFFSET( P36, 0, - 1 * ( $F35 ) ) )</f>
        <v>0</v>
      </c>
      <c r="Q37" s="2">
        <f ca="1" xml:space="preserve">  IF( Time!Q28 &lt; 1 + $F35, 0, OFFSET( Q36, 0, - 1 * ( $F35 ) ) )</f>
        <v>0</v>
      </c>
      <c r="R37" s="2">
        <f ca="1" xml:space="preserve">  IF( Time!R28 &lt; 1 + $F35, 0, OFFSET( R36, 0, - 1 * ( $F35 ) ) )</f>
        <v>631993.11565471347</v>
      </c>
      <c r="S37" s="2">
        <f ca="1" xml:space="preserve">  IF( Time!S28 &lt; 1 + $F35, 0, OFFSET( S36, 0, - 1 * ( $F35 ) ) )</f>
        <v>0</v>
      </c>
      <c r="T37" s="2">
        <f ca="1" xml:space="preserve">  IF( Time!T28 &lt; 1 + $F35, 0, OFFSET( T36, 0, - 1 * ( $F35 ) ) )</f>
        <v>0</v>
      </c>
      <c r="U37" s="2">
        <f ca="1" xml:space="preserve">  IF( Time!U28 &lt; 1 + $F35, 0, OFFSET( U36, 0, - 1 * ( $F35 ) ) )</f>
        <v>867003.2969292358</v>
      </c>
      <c r="V37" s="2">
        <f ca="1" xml:space="preserve">  IF( Time!V28 &lt; 1 + $F35, 0, OFFSET( V36, 0, - 1 * ( $F35 ) ) )</f>
        <v>0</v>
      </c>
      <c r="W37" s="2">
        <f ca="1" xml:space="preserve">  IF( Time!W28 &lt; 1 + $F35, 0, OFFSET( W36, 0, - 1 * ( $F35 ) ) )</f>
        <v>0</v>
      </c>
      <c r="X37" s="2">
        <f ca="1" xml:space="preserve">  IF( Time!X28 &lt; 1 + $F35, 0, OFFSET( X36, 0, - 1 * ( $F35 ) ) )</f>
        <v>1461967.2447645178</v>
      </c>
      <c r="Y37" s="2">
        <f ca="1" xml:space="preserve">  IF( Time!Y28 &lt; 1 + $F35, 0, OFFSET( Y36, 0, - 1 * ( $F35 ) ) )</f>
        <v>0</v>
      </c>
      <c r="Z37" s="2">
        <f ca="1" xml:space="preserve">  IF( Time!Z28 &lt; 1 + $F35, 0, OFFSET( Z36, 0, - 1 * ( $F35 ) ) )</f>
        <v>0</v>
      </c>
      <c r="AA37" s="2">
        <f ca="1" xml:space="preserve">  IF( Time!AA28 &lt; 1 + $F35, 0, OFFSET( AA36, 0, - 1 * ( $F35 ) ) )</f>
        <v>1126177.8940359142</v>
      </c>
      <c r="AB37" s="2">
        <f ca="1" xml:space="preserve">  IF( Time!AB28 &lt; 1 + $F35, 0, OFFSET( AB36, 0, - 1 * ( $F35 ) ) )</f>
        <v>0</v>
      </c>
      <c r="AC37" s="2">
        <f ca="1" xml:space="preserve">  IF( Time!AC28 &lt; 1 + $F35, 0, OFFSET( AC36, 0, - 1 * ( $F35 ) ) )</f>
        <v>0</v>
      </c>
      <c r="AD37" s="2">
        <f ca="1" xml:space="preserve">  IF( Time!AD28 &lt; 1 + $F35, 0, OFFSET( AD36, 0, - 1 * ( $F35 ) ) )</f>
        <v>477913.42386992206</v>
      </c>
      <c r="AE37" s="2">
        <f ca="1" xml:space="preserve">  IF( Time!AE28 &lt; 1 + $F35, 0, OFFSET( AE36, 0, - 1 * ( $F35 ) ) )</f>
        <v>0</v>
      </c>
      <c r="AF37" s="2">
        <f ca="1" xml:space="preserve">  IF( Time!AF28 &lt; 1 + $F35, 0, OFFSET( AF36, 0, - 1 * ( $F35 ) ) )</f>
        <v>0</v>
      </c>
      <c r="AG37" s="2">
        <f ca="1" xml:space="preserve">  IF( Time!AG28 &lt; 1 + $F35, 0, OFFSET( AG36, 0, - 1 * ( $F35 ) ) )</f>
        <v>1551824.6839187241</v>
      </c>
      <c r="AH37" s="2">
        <f ca="1" xml:space="preserve">  IF( Time!AH28 &lt; 1 + $F35, 0, OFFSET( AH36, 0, - 1 * ( $F35 ) ) )</f>
        <v>0</v>
      </c>
      <c r="AI37" s="2">
        <f ca="1" xml:space="preserve">  IF( Time!AI28 &lt; 1 + $F35, 0, OFFSET( AI36, 0, - 1 * ( $F35 ) ) )</f>
        <v>0</v>
      </c>
      <c r="AJ37" s="2">
        <f ca="1" xml:space="preserve">  IF( Time!AJ28 &lt; 1 + $F35, 0, OFFSET( AJ36, 0, - 1 * ( $F35 ) ) )</f>
        <v>2821767.2882357761</v>
      </c>
      <c r="AK37" s="2">
        <f ca="1" xml:space="preserve">  IF( Time!AK28 &lt; 1 + $F35, 0, OFFSET( AK36, 0, - 1 * ( $F35 ) ) )</f>
        <v>0</v>
      </c>
      <c r="AL37" s="2">
        <f ca="1" xml:space="preserve">  IF( Time!AL28 &lt; 1 + $F35, 0, OFFSET( AL36, 0, - 1 * ( $F35 ) ) )</f>
        <v>0</v>
      </c>
      <c r="AM37" s="2">
        <f ca="1" xml:space="preserve">  IF( Time!AM28 &lt; 1 + $F35, 0, OFFSET( AM36, 0, - 1 * ( $F35 ) ) )</f>
        <v>2615976.0760499444</v>
      </c>
      <c r="AN37" s="2">
        <f ca="1" xml:space="preserve">  IF( Time!AN28 &lt; 1 + $F35, 0, OFFSET( AN36, 0, - 1 * ( $F35 ) ) )</f>
        <v>0</v>
      </c>
      <c r="AO37" s="2">
        <f ca="1" xml:space="preserve">  IF( Time!AO28 &lt; 1 + $F35, 0, OFFSET( AO36, 0, - 1 * ( $F35 ) ) )</f>
        <v>0</v>
      </c>
      <c r="AP37" s="2">
        <f ca="1" xml:space="preserve">  IF( Time!AP28 &lt; 1 + $F35, 0, OFFSET( AP36, 0, - 1 * ( $F35 ) ) )</f>
        <v>1894976.4836217663</v>
      </c>
      <c r="AQ37" s="2">
        <f ca="1" xml:space="preserve">  IF( Time!AQ28 &lt; 1 + $F35, 0, OFFSET( AQ36, 0, - 1 * ( $F35 ) ) )</f>
        <v>0</v>
      </c>
      <c r="AR37" s="2">
        <f ca="1" xml:space="preserve">  IF( Time!AR28 &lt; 1 + $F35, 0, OFFSET( AR36, 0, - 1 * ( $F35 ) ) )</f>
        <v>0</v>
      </c>
      <c r="AS37" s="2">
        <f ca="1" xml:space="preserve">  IF( Time!AS28 &lt; 1 + $F35, 0, OFFSET( AS36, 0, - 1 * ( $F35 ) ) )</f>
        <v>3418867.0913174599</v>
      </c>
      <c r="AT37" s="2">
        <f ca="1" xml:space="preserve">  IF( Time!AT28 &lt; 1 + $F35, 0, OFFSET( AT36, 0, - 1 * ( $F35 ) ) )</f>
        <v>0</v>
      </c>
      <c r="AU37" s="2">
        <f ca="1" xml:space="preserve">  IF( Time!AU28 &lt; 1 + $F35, 0, OFFSET( AU36, 0, - 1 * ( $F35 ) ) )</f>
        <v>0</v>
      </c>
      <c r="AV37" s="2">
        <f ca="1" xml:space="preserve">  IF( Time!AV28 &lt; 1 + $F35, 0, OFFSET( AV36, 0, - 1 * ( $F35 ) ) )</f>
        <v>5017673.1443326734</v>
      </c>
      <c r="AW37" s="2">
        <f ca="1" xml:space="preserve">  IF( Time!AW28 &lt; 1 + $F35, 0, OFFSET( AW36, 0, - 1 * ( $F35 ) ) )</f>
        <v>0</v>
      </c>
      <c r="AX37" s="2">
        <f ca="1" xml:space="preserve">  IF( Time!AX28 &lt; 1 + $F35, 0, OFFSET( AX36, 0, - 1 * ( $F35 ) ) )</f>
        <v>0</v>
      </c>
      <c r="AY37" s="2">
        <f ca="1" xml:space="preserve">  IF( Time!AY28 &lt; 1 + $F35, 0, OFFSET( AY36, 0, - 1 * ( $F35 ) ) )</f>
        <v>6495484.829641548</v>
      </c>
      <c r="AZ37" s="2">
        <f ca="1" xml:space="preserve">  IF( Time!AZ28 &lt; 1 + $F35, 0, OFFSET( AZ36, 0, - 1 * ( $F35 ) ) )</f>
        <v>0</v>
      </c>
      <c r="BA37" s="2">
        <f ca="1" xml:space="preserve">  IF( Time!BA28 &lt; 1 + $F35, 0, OFFSET( BA36, 0, - 1 * ( $F35 ) ) )</f>
        <v>0</v>
      </c>
      <c r="BB37" s="2">
        <f ca="1" xml:space="preserve">  IF( Time!BB28 &lt; 1 + $F35, 0, OFFSET( BB36, 0, - 1 * ( $F35 ) ) )</f>
        <v>7576566.7027095417</v>
      </c>
      <c r="BC37" s="2">
        <f ca="1" xml:space="preserve">  IF( Time!BC28 &lt; 1 + $F35, 0, OFFSET( BC36, 0, - 1 * ( $F35 ) ) )</f>
        <v>0</v>
      </c>
      <c r="BD37" s="2">
        <f ca="1" xml:space="preserve">  IF( Time!BD28 &lt; 1 + $F35, 0, OFFSET( BD36, 0, - 1 * ( $F35 ) ) )</f>
        <v>0</v>
      </c>
      <c r="BE37" s="2">
        <f ca="1" xml:space="preserve">  IF( Time!BE28 &lt; 1 + $F35, 0, OFFSET( BE36, 0, - 1 * ( $F35 ) ) )</f>
        <v>9028703.0388964768</v>
      </c>
      <c r="BF37" s="2">
        <f ca="1" xml:space="preserve">  IF( Time!BF28 &lt; 1 + $F35, 0, OFFSET( BF36, 0, - 1 * ( $F35 ) ) )</f>
        <v>0</v>
      </c>
      <c r="BG37" s="2">
        <f ca="1" xml:space="preserve">  IF( Time!BG28 &lt; 1 + $F35, 0, OFFSET( BG36, 0, - 1 * ( $F35 ) ) )</f>
        <v>0</v>
      </c>
      <c r="BH37" s="2">
        <f ca="1" xml:space="preserve">  IF( Time!BH28 &lt; 1 + $F35, 0, OFFSET( BH36, 0, - 1 * ( $F35 ) ) )</f>
        <v>11269262.524777869</v>
      </c>
      <c r="BI37" s="2">
        <f ca="1" xml:space="preserve">  IF( Time!BI28 &lt; 1 + $F35, 0, OFFSET( BI36, 0, - 1 * ( $F35 ) ) )</f>
        <v>0</v>
      </c>
      <c r="BJ37" s="2">
        <f ca="1" xml:space="preserve">  IF( Time!BJ28 &lt; 1 + $F35, 0, OFFSET( BJ36, 0, - 1 * ( $F35 ) ) )</f>
        <v>0</v>
      </c>
      <c r="BK37" s="2">
        <f ca="1" xml:space="preserve">  IF( Time!BK28 &lt; 1 + $F35, 0, OFFSET( BK36, 0, - 1 * ( $F35 ) ) )</f>
        <v>13875100.155230857</v>
      </c>
      <c r="BL37" s="2">
        <f ca="1" xml:space="preserve">  IF( Time!BL28 &lt; 1 + $F35, 0, OFFSET( BL36, 0, - 1 * ( $F35 ) ) )</f>
        <v>0</v>
      </c>
      <c r="BM37" s="2">
        <f ca="1" xml:space="preserve">  IF( Time!BM28 &lt; 1 + $F35, 0, OFFSET( BM36, 0, - 1 * ( $F35 ) ) )</f>
        <v>0</v>
      </c>
      <c r="BN37" s="2">
        <f ca="1" xml:space="preserve">  IF( Time!BN28 &lt; 1 + $F35, 0, OFFSET( BN36, 0, - 1 * ( $F35 ) ) )</f>
        <v>16002485.711395023</v>
      </c>
      <c r="BO37" s="2">
        <f ca="1" xml:space="preserve">  IF( Time!BO28 &lt; 1 + $F35, 0, OFFSET( BO36, 0, - 1 * ( $F35 ) ) )</f>
        <v>0</v>
      </c>
      <c r="BP37" s="2">
        <f ca="1" xml:space="preserve">  IF( Time!BP28 &lt; 1 + $F35, 0, OFFSET( BP36, 0, - 1 * ( $F35 ) ) )</f>
        <v>0</v>
      </c>
      <c r="BQ37" s="2">
        <f ca="1" xml:space="preserve">  IF( Time!BQ28 &lt; 1 + $F35, 0, OFFSET( BQ36, 0, - 1 * ( $F35 ) ) )</f>
        <v>18871987.585062012</v>
      </c>
    </row>
    <row r="38" spans="1:69" outlineLevel="1">
      <c r="A38" s="34"/>
      <c r="B38" s="34"/>
      <c r="C38" s="64"/>
      <c r="D38" s="65"/>
      <c r="E38" s="21" t="str">
        <f xml:space="preserve"> LEFT($E$37, LEN($E$37) - 3 )</f>
        <v xml:space="preserve">VAT paid </v>
      </c>
      <c r="F38" s="21"/>
      <c r="G38" s="21" t="str">
        <f xml:space="preserve"> G$37</f>
        <v>GBP</v>
      </c>
      <c r="H38" s="3">
        <f t="shared" ca="1" si="11"/>
        <v>-105089708.7190737</v>
      </c>
      <c r="I38" s="21"/>
      <c r="J38" s="3">
        <f t="shared" ref="J38:BQ38" ca="1" si="12" xml:space="preserve"> -1 * J37</f>
        <v>0</v>
      </c>
      <c r="K38" s="3">
        <f t="shared" ca="1" si="12"/>
        <v>0</v>
      </c>
      <c r="L38" s="3">
        <f t="shared" ca="1" si="12"/>
        <v>13400</v>
      </c>
      <c r="M38" s="3">
        <f t="shared" ca="1" si="12"/>
        <v>0</v>
      </c>
      <c r="N38" s="3">
        <f t="shared" ca="1" si="12"/>
        <v>0</v>
      </c>
      <c r="O38" s="3">
        <f t="shared" ca="1" si="12"/>
        <v>-97378.428629730886</v>
      </c>
      <c r="P38" s="3">
        <f t="shared" ca="1" si="12"/>
        <v>0</v>
      </c>
      <c r="Q38" s="3">
        <f t="shared" ca="1" si="12"/>
        <v>0</v>
      </c>
      <c r="R38" s="3">
        <f t="shared" ca="1" si="12"/>
        <v>-631993.11565471347</v>
      </c>
      <c r="S38" s="3">
        <f t="shared" ca="1" si="12"/>
        <v>0</v>
      </c>
      <c r="T38" s="3">
        <f t="shared" ca="1" si="12"/>
        <v>0</v>
      </c>
      <c r="U38" s="3">
        <f t="shared" ca="1" si="12"/>
        <v>-867003.2969292358</v>
      </c>
      <c r="V38" s="3">
        <f t="shared" ca="1" si="12"/>
        <v>0</v>
      </c>
      <c r="W38" s="3">
        <f t="shared" ca="1" si="12"/>
        <v>0</v>
      </c>
      <c r="X38" s="3">
        <f t="shared" ca="1" si="12"/>
        <v>-1461967.2447645178</v>
      </c>
      <c r="Y38" s="3">
        <f t="shared" ca="1" si="12"/>
        <v>0</v>
      </c>
      <c r="Z38" s="3">
        <f t="shared" ca="1" si="12"/>
        <v>0</v>
      </c>
      <c r="AA38" s="3">
        <f t="shared" ca="1" si="12"/>
        <v>-1126177.8940359142</v>
      </c>
      <c r="AB38" s="3">
        <f t="shared" ca="1" si="12"/>
        <v>0</v>
      </c>
      <c r="AC38" s="3">
        <f t="shared" ca="1" si="12"/>
        <v>0</v>
      </c>
      <c r="AD38" s="3">
        <f t="shared" ca="1" si="12"/>
        <v>-477913.42386992206</v>
      </c>
      <c r="AE38" s="3">
        <f t="shared" ca="1" si="12"/>
        <v>0</v>
      </c>
      <c r="AF38" s="3">
        <f t="shared" ca="1" si="12"/>
        <v>0</v>
      </c>
      <c r="AG38" s="3">
        <f t="shared" ca="1" si="12"/>
        <v>-1551824.6839187241</v>
      </c>
      <c r="AH38" s="3">
        <f t="shared" ca="1" si="12"/>
        <v>0</v>
      </c>
      <c r="AI38" s="3">
        <f t="shared" ca="1" si="12"/>
        <v>0</v>
      </c>
      <c r="AJ38" s="3">
        <f t="shared" ca="1" si="12"/>
        <v>-2821767.2882357761</v>
      </c>
      <c r="AK38" s="3">
        <f t="shared" ca="1" si="12"/>
        <v>0</v>
      </c>
      <c r="AL38" s="3">
        <f t="shared" ca="1" si="12"/>
        <v>0</v>
      </c>
      <c r="AM38" s="3">
        <f t="shared" ca="1" si="12"/>
        <v>-2615976.0760499444</v>
      </c>
      <c r="AN38" s="3">
        <f t="shared" ca="1" si="12"/>
        <v>0</v>
      </c>
      <c r="AO38" s="3">
        <f t="shared" ca="1" si="12"/>
        <v>0</v>
      </c>
      <c r="AP38" s="3">
        <f t="shared" ca="1" si="12"/>
        <v>-1894976.4836217663</v>
      </c>
      <c r="AQ38" s="3">
        <f t="shared" ca="1" si="12"/>
        <v>0</v>
      </c>
      <c r="AR38" s="3">
        <f t="shared" ca="1" si="12"/>
        <v>0</v>
      </c>
      <c r="AS38" s="3">
        <f t="shared" ca="1" si="12"/>
        <v>-3418867.0913174599</v>
      </c>
      <c r="AT38" s="3">
        <f t="shared" ca="1" si="12"/>
        <v>0</v>
      </c>
      <c r="AU38" s="3">
        <f t="shared" ca="1" si="12"/>
        <v>0</v>
      </c>
      <c r="AV38" s="3">
        <f t="shared" ca="1" si="12"/>
        <v>-5017673.1443326734</v>
      </c>
      <c r="AW38" s="3">
        <f t="shared" ca="1" si="12"/>
        <v>0</v>
      </c>
      <c r="AX38" s="3">
        <f t="shared" ca="1" si="12"/>
        <v>0</v>
      </c>
      <c r="AY38" s="3">
        <f t="shared" ca="1" si="12"/>
        <v>-6495484.829641548</v>
      </c>
      <c r="AZ38" s="3">
        <f t="shared" ca="1" si="12"/>
        <v>0</v>
      </c>
      <c r="BA38" s="3">
        <f t="shared" ca="1" si="12"/>
        <v>0</v>
      </c>
      <c r="BB38" s="3">
        <f t="shared" ca="1" si="12"/>
        <v>-7576566.7027095417</v>
      </c>
      <c r="BC38" s="3">
        <f t="shared" ca="1" si="12"/>
        <v>0</v>
      </c>
      <c r="BD38" s="3">
        <f t="shared" ca="1" si="12"/>
        <v>0</v>
      </c>
      <c r="BE38" s="3">
        <f t="shared" ca="1" si="12"/>
        <v>-9028703.0388964768</v>
      </c>
      <c r="BF38" s="3">
        <f t="shared" ca="1" si="12"/>
        <v>0</v>
      </c>
      <c r="BG38" s="3">
        <f t="shared" ca="1" si="12"/>
        <v>0</v>
      </c>
      <c r="BH38" s="3">
        <f t="shared" ca="1" si="12"/>
        <v>-11269262.524777869</v>
      </c>
      <c r="BI38" s="3">
        <f t="shared" ca="1" si="12"/>
        <v>0</v>
      </c>
      <c r="BJ38" s="3">
        <f t="shared" ca="1" si="12"/>
        <v>0</v>
      </c>
      <c r="BK38" s="3">
        <f t="shared" ca="1" si="12"/>
        <v>-13875100.155230857</v>
      </c>
      <c r="BL38" s="3">
        <f t="shared" ca="1" si="12"/>
        <v>0</v>
      </c>
      <c r="BM38" s="3">
        <f t="shared" ca="1" si="12"/>
        <v>0</v>
      </c>
      <c r="BN38" s="3">
        <f t="shared" ca="1" si="12"/>
        <v>-16002485.711395023</v>
      </c>
      <c r="BO38" s="3">
        <f t="shared" ca="1" si="12"/>
        <v>0</v>
      </c>
      <c r="BP38" s="3">
        <f t="shared" ca="1" si="12"/>
        <v>0</v>
      </c>
      <c r="BQ38" s="3">
        <f t="shared" ca="1" si="12"/>
        <v>-18871987.585062012</v>
      </c>
    </row>
    <row r="41" spans="1:69">
      <c r="B41" s="25" t="s">
        <v>178</v>
      </c>
    </row>
    <row r="42" spans="1:69" outlineLevel="1">
      <c r="A42" s="18"/>
      <c r="B42" s="18"/>
      <c r="C42" s="28"/>
      <c r="D42" s="27"/>
      <c r="E42" s="4" t="str">
        <f xml:space="preserve">  InpC!E$87</f>
        <v>VAT payment delay in months</v>
      </c>
      <c r="F42" s="4">
        <f xml:space="preserve">  InpC!F$87</f>
        <v>1</v>
      </c>
      <c r="G42" s="4" t="str">
        <f xml:space="preserve">  InpC!G$87</f>
        <v>Months</v>
      </c>
      <c r="M42" s="2"/>
    </row>
    <row r="43" spans="1:69" outlineLevel="1">
      <c r="A43" s="18"/>
      <c r="B43" s="18"/>
      <c r="C43" s="28"/>
      <c r="D43" s="27"/>
      <c r="E43" s="4" t="str">
        <f xml:space="preserve">  InpC!E$100</f>
        <v>Months per period (Primary)</v>
      </c>
      <c r="F43" s="4">
        <f xml:space="preserve">  InpC!F$100</f>
        <v>1</v>
      </c>
      <c r="G43" s="4" t="str">
        <f xml:space="preserve">  InpC!G$100</f>
        <v>Months</v>
      </c>
      <c r="M43" s="2"/>
    </row>
    <row r="44" spans="1:69" outlineLevel="1">
      <c r="E44" s="47" t="s">
        <v>178</v>
      </c>
      <c r="F44" s="2">
        <f xml:space="preserve">  INT( $F42 / $F43 )</f>
        <v>1</v>
      </c>
      <c r="G44" s="47" t="s">
        <v>253</v>
      </c>
      <c r="M44" s="2"/>
    </row>
    <row r="47" spans="1:69">
      <c r="B47" s="25" t="s">
        <v>202</v>
      </c>
    </row>
    <row r="48" spans="1:69" outlineLevel="1">
      <c r="E48" s="2" t="str">
        <f t="shared" ref="E48:BQ48" si="13" xml:space="preserve">  E$29</f>
        <v>VAT balance BEG</v>
      </c>
      <c r="F48" s="2">
        <f t="shared" si="13"/>
        <v>0</v>
      </c>
      <c r="G48" s="2" t="str">
        <f t="shared" si="13"/>
        <v>GBP</v>
      </c>
      <c r="H48" s="2">
        <f t="shared" si="13"/>
        <v>0</v>
      </c>
      <c r="I48" s="2">
        <f t="shared" si="13"/>
        <v>0</v>
      </c>
      <c r="J48" s="2">
        <f t="shared" si="13"/>
        <v>0</v>
      </c>
      <c r="K48" s="2">
        <f t="shared" ca="1" si="13"/>
        <v>-6700</v>
      </c>
      <c r="L48" s="2">
        <f t="shared" ca="1" si="13"/>
        <v>-13400</v>
      </c>
      <c r="M48" s="2">
        <f t="shared" ca="1" si="13"/>
        <v>91300</v>
      </c>
      <c r="N48" s="2">
        <f t="shared" ca="1" si="13"/>
        <v>98539.214314865443</v>
      </c>
      <c r="O48" s="2">
        <f t="shared" ca="1" si="13"/>
        <v>97378.428629730886</v>
      </c>
      <c r="P48" s="2">
        <f t="shared" ca="1" si="13"/>
        <v>68839.214314865443</v>
      </c>
      <c r="Q48" s="2">
        <f t="shared" ca="1" si="13"/>
        <v>403616.16498478944</v>
      </c>
      <c r="R48" s="2">
        <f t="shared" ca="1" si="13"/>
        <v>631993.11565471347</v>
      </c>
      <c r="S48" s="2">
        <f t="shared" ca="1" si="13"/>
        <v>74376.95066992403</v>
      </c>
      <c r="T48" s="2">
        <f t="shared" ca="1" si="13"/>
        <v>50690.123799579858</v>
      </c>
      <c r="U48" s="2">
        <f t="shared" ca="1" si="13"/>
        <v>867003.2969292358</v>
      </c>
      <c r="V48" s="2">
        <f t="shared" ca="1" si="13"/>
        <v>-23686.826870344114</v>
      </c>
      <c r="W48" s="2">
        <f t="shared" ca="1" si="13"/>
        <v>791314.44814811065</v>
      </c>
      <c r="X48" s="2">
        <f t="shared" ca="1" si="13"/>
        <v>1461967.2447645178</v>
      </c>
      <c r="Y48" s="2">
        <f t="shared" ca="1" si="13"/>
        <v>248302.15095403907</v>
      </c>
      <c r="Z48" s="2">
        <f t="shared" ca="1" si="13"/>
        <v>1095902.2181618491</v>
      </c>
      <c r="AA48" s="2">
        <f t="shared" ca="1" si="13"/>
        <v>1126177.8940359142</v>
      </c>
      <c r="AB48" s="2">
        <f t="shared" ca="1" si="13"/>
        <v>-18515.623776215827</v>
      </c>
      <c r="AC48" s="2">
        <f t="shared" ca="1" si="13"/>
        <v>332134.38678531407</v>
      </c>
      <c r="AD48" s="2">
        <f t="shared" ca="1" si="13"/>
        <v>477913.42386992206</v>
      </c>
      <c r="AE48" s="2">
        <f t="shared" ca="1" si="13"/>
        <v>94796.809735284187</v>
      </c>
      <c r="AF48" s="2">
        <f t="shared" ca="1" si="13"/>
        <v>404423.23431237251</v>
      </c>
      <c r="AG48" s="2">
        <f t="shared" ca="1" si="13"/>
        <v>1551824.6839187241</v>
      </c>
      <c r="AH48" s="2">
        <f t="shared" ca="1" si="13"/>
        <v>305044.1707389825</v>
      </c>
      <c r="AI48" s="2">
        <f t="shared" ca="1" si="13"/>
        <v>1863741.4577048789</v>
      </c>
      <c r="AJ48" s="2">
        <f t="shared" ca="1" si="13"/>
        <v>2821767.2882357761</v>
      </c>
      <c r="AK48" s="2">
        <f t="shared" ca="1" si="13"/>
        <v>856273.53846796881</v>
      </c>
      <c r="AL48" s="2">
        <f t="shared" ca="1" si="13"/>
        <v>1939353.6503707182</v>
      </c>
      <c r="AM48" s="2">
        <f t="shared" ca="1" si="13"/>
        <v>2615976.0760499444</v>
      </c>
      <c r="AN48" s="2">
        <f t="shared" ca="1" si="13"/>
        <v>626164.27815668099</v>
      </c>
      <c r="AO48" s="2">
        <f t="shared" ca="1" si="13"/>
        <v>1283721.3543661456</v>
      </c>
      <c r="AP48" s="2">
        <f t="shared" ca="1" si="13"/>
        <v>1894976.4836217663</v>
      </c>
      <c r="AQ48" s="2">
        <f t="shared" ca="1" si="13"/>
        <v>992290.67455697292</v>
      </c>
      <c r="AR48" s="2">
        <f t="shared" ca="1" si="13"/>
        <v>2015303.8579079534</v>
      </c>
      <c r="AS48" s="2">
        <f t="shared" ca="1" si="13"/>
        <v>3418867.0913174599</v>
      </c>
      <c r="AT48" s="2">
        <f t="shared" ca="1" si="13"/>
        <v>1398848.6756747691</v>
      </c>
      <c r="AU48" s="2">
        <f t="shared" ca="1" si="13"/>
        <v>3631502.2061844529</v>
      </c>
      <c r="AV48" s="2">
        <f t="shared" ca="1" si="13"/>
        <v>5017673.1443326734</v>
      </c>
      <c r="AW48" s="2">
        <f t="shared" ca="1" si="13"/>
        <v>2184302.8707854748</v>
      </c>
      <c r="AX48" s="2">
        <f t="shared" ca="1" si="13"/>
        <v>4361248.4226934686</v>
      </c>
      <c r="AY48" s="2">
        <f t="shared" ca="1" si="13"/>
        <v>6495484.829641548</v>
      </c>
      <c r="AZ48" s="2">
        <f t="shared" ca="1" si="13"/>
        <v>2546068.8523739846</v>
      </c>
      <c r="BA48" s="2">
        <f t="shared" ca="1" si="13"/>
        <v>5083401.6625602217</v>
      </c>
      <c r="BB48" s="2">
        <f t="shared" ca="1" si="13"/>
        <v>7576566.7027095417</v>
      </c>
      <c r="BC48" s="2">
        <f t="shared" ca="1" si="13"/>
        <v>2903452.1261376319</v>
      </c>
      <c r="BD48" s="2">
        <f t="shared" ca="1" si="13"/>
        <v>5761528.7711953595</v>
      </c>
      <c r="BE48" s="2">
        <f t="shared" ca="1" si="13"/>
        <v>9028703.0388964768</v>
      </c>
      <c r="BF48" s="2">
        <f t="shared" ca="1" si="13"/>
        <v>3640623.6012510099</v>
      </c>
      <c r="BG48" s="2">
        <f t="shared" ca="1" si="13"/>
        <v>7688925.6553759025</v>
      </c>
      <c r="BH48" s="2">
        <f t="shared" ca="1" si="13"/>
        <v>11269262.524777869</v>
      </c>
      <c r="BI48" s="2">
        <f t="shared" ca="1" si="13"/>
        <v>4371600.7346764747</v>
      </c>
      <c r="BJ48" s="2">
        <f t="shared" ca="1" si="13"/>
        <v>9148559.5899135806</v>
      </c>
      <c r="BK48" s="2">
        <f t="shared" ca="1" si="13"/>
        <v>13875100.155230857</v>
      </c>
      <c r="BL48" s="2">
        <f t="shared" ca="1" si="13"/>
        <v>5095205.4561690874</v>
      </c>
      <c r="BM48" s="2">
        <f t="shared" ca="1" si="13"/>
        <v>10558013.353818972</v>
      </c>
      <c r="BN48" s="2">
        <f t="shared" ca="1" si="13"/>
        <v>16002485.711395023</v>
      </c>
      <c r="BO48" s="2">
        <f t="shared" ca="1" si="13"/>
        <v>5775046.5295526776</v>
      </c>
      <c r="BP48" s="2">
        <f t="shared" ca="1" si="13"/>
        <v>12369419.434663955</v>
      </c>
      <c r="BQ48" s="2">
        <f t="shared" ca="1" si="13"/>
        <v>18871987.585062012</v>
      </c>
    </row>
    <row r="49" spans="1:69" outlineLevel="1">
      <c r="E49" s="2" t="str">
        <f t="shared" ref="E49:BQ49" si="14" xml:space="preserve">  E$23</f>
        <v>VAT due</v>
      </c>
      <c r="F49" s="2">
        <f t="shared" si="14"/>
        <v>0</v>
      </c>
      <c r="G49" s="2" t="str">
        <f t="shared" si="14"/>
        <v>GBP</v>
      </c>
      <c r="H49" s="2">
        <f t="shared" ca="1" si="14"/>
        <v>112374175.53657156</v>
      </c>
      <c r="I49" s="2">
        <f t="shared" si="14"/>
        <v>0</v>
      </c>
      <c r="J49" s="2">
        <f t="shared" ca="1" si="14"/>
        <v>-6700</v>
      </c>
      <c r="K49" s="2">
        <f t="shared" ca="1" si="14"/>
        <v>-6700</v>
      </c>
      <c r="L49" s="2">
        <f t="shared" ca="1" si="14"/>
        <v>91300</v>
      </c>
      <c r="M49" s="2">
        <f t="shared" ca="1" si="14"/>
        <v>7239.2143148654432</v>
      </c>
      <c r="N49" s="2">
        <f t="shared" ca="1" si="14"/>
        <v>-1160.7856851345568</v>
      </c>
      <c r="O49" s="2">
        <f t="shared" ca="1" si="14"/>
        <v>68839.214314865443</v>
      </c>
      <c r="P49" s="2">
        <f t="shared" ca="1" si="14"/>
        <v>334776.95066992397</v>
      </c>
      <c r="Q49" s="2">
        <f t="shared" ca="1" si="14"/>
        <v>228376.95066992397</v>
      </c>
      <c r="R49" s="2">
        <f t="shared" ca="1" si="14"/>
        <v>74376.950669923986</v>
      </c>
      <c r="S49" s="2">
        <f t="shared" ca="1" si="14"/>
        <v>-23686.826870344172</v>
      </c>
      <c r="T49" s="2">
        <f t="shared" ca="1" si="14"/>
        <v>816313.17312965589</v>
      </c>
      <c r="U49" s="2">
        <f t="shared" ca="1" si="14"/>
        <v>-23686.826870344172</v>
      </c>
      <c r="V49" s="2">
        <f t="shared" ca="1" si="14"/>
        <v>815001.27501845476</v>
      </c>
      <c r="W49" s="2">
        <f t="shared" ca="1" si="14"/>
        <v>670652.79661640711</v>
      </c>
      <c r="X49" s="2">
        <f t="shared" ca="1" si="14"/>
        <v>248302.15095403895</v>
      </c>
      <c r="Y49" s="2">
        <f t="shared" ca="1" si="14"/>
        <v>847600.06720781</v>
      </c>
      <c r="Z49" s="2">
        <f t="shared" ca="1" si="14"/>
        <v>30275.675874065171</v>
      </c>
      <c r="AA49" s="2">
        <f t="shared" ca="1" si="14"/>
        <v>-18515.623776215871</v>
      </c>
      <c r="AB49" s="2">
        <f t="shared" ca="1" si="14"/>
        <v>350650.0105615299</v>
      </c>
      <c r="AC49" s="2">
        <f t="shared" ca="1" si="14"/>
        <v>145779.03708460799</v>
      </c>
      <c r="AD49" s="2">
        <f t="shared" ca="1" si="14"/>
        <v>94796.809735284172</v>
      </c>
      <c r="AE49" s="2">
        <f t="shared" ca="1" si="14"/>
        <v>309626.42457708833</v>
      </c>
      <c r="AF49" s="2">
        <f t="shared" ca="1" si="14"/>
        <v>1147401.4496063516</v>
      </c>
      <c r="AG49" s="2">
        <f t="shared" ca="1" si="14"/>
        <v>305044.17073898256</v>
      </c>
      <c r="AH49" s="2">
        <f t="shared" ca="1" si="14"/>
        <v>1558697.2869658964</v>
      </c>
      <c r="AI49" s="2">
        <f t="shared" ca="1" si="14"/>
        <v>958025.83053089702</v>
      </c>
      <c r="AJ49" s="2">
        <f t="shared" ca="1" si="14"/>
        <v>856273.5384679687</v>
      </c>
      <c r="AK49" s="2">
        <f t="shared" ca="1" si="14"/>
        <v>1083080.1119027494</v>
      </c>
      <c r="AL49" s="2">
        <f t="shared" ca="1" si="14"/>
        <v>676622.42567922617</v>
      </c>
      <c r="AM49" s="2">
        <f t="shared" ca="1" si="14"/>
        <v>626164.27815668075</v>
      </c>
      <c r="AN49" s="2">
        <f t="shared" ca="1" si="14"/>
        <v>657557.07620946446</v>
      </c>
      <c r="AO49" s="2">
        <f t="shared" ca="1" si="14"/>
        <v>611255.12925562076</v>
      </c>
      <c r="AP49" s="2">
        <f t="shared" ca="1" si="14"/>
        <v>992290.67455697316</v>
      </c>
      <c r="AQ49" s="2">
        <f t="shared" ca="1" si="14"/>
        <v>1023013.1833509805</v>
      </c>
      <c r="AR49" s="2">
        <f t="shared" ca="1" si="14"/>
        <v>1403563.2334095067</v>
      </c>
      <c r="AS49" s="2">
        <f t="shared" ca="1" si="14"/>
        <v>1398848.6756747691</v>
      </c>
      <c r="AT49" s="2">
        <f t="shared" ca="1" si="14"/>
        <v>2232653.5305096838</v>
      </c>
      <c r="AU49" s="2">
        <f t="shared" ca="1" si="14"/>
        <v>1386170.9381482205</v>
      </c>
      <c r="AV49" s="2">
        <f t="shared" ca="1" si="14"/>
        <v>2184302.8707854752</v>
      </c>
      <c r="AW49" s="2">
        <f t="shared" ca="1" si="14"/>
        <v>2176945.5519079934</v>
      </c>
      <c r="AX49" s="2">
        <f t="shared" ca="1" si="14"/>
        <v>2134236.4069480794</v>
      </c>
      <c r="AY49" s="2">
        <f t="shared" ca="1" si="14"/>
        <v>2546068.8523739842</v>
      </c>
      <c r="AZ49" s="2">
        <f t="shared" ca="1" si="14"/>
        <v>2537332.8101862371</v>
      </c>
      <c r="BA49" s="2">
        <f t="shared" ca="1" si="14"/>
        <v>2493165.0401493199</v>
      </c>
      <c r="BB49" s="2">
        <f t="shared" ca="1" si="14"/>
        <v>2903452.1261376329</v>
      </c>
      <c r="BC49" s="2">
        <f t="shared" ca="1" si="14"/>
        <v>2858076.6450577276</v>
      </c>
      <c r="BD49" s="2">
        <f t="shared" ca="1" si="14"/>
        <v>3267174.2677011169</v>
      </c>
      <c r="BE49" s="2">
        <f t="shared" ca="1" si="14"/>
        <v>3640623.6012510094</v>
      </c>
      <c r="BF49" s="2">
        <f t="shared" ca="1" si="14"/>
        <v>4048302.0541248927</v>
      </c>
      <c r="BG49" s="2">
        <f t="shared" ca="1" si="14"/>
        <v>3580336.8694019667</v>
      </c>
      <c r="BH49" s="2">
        <f t="shared" ca="1" si="14"/>
        <v>4371600.7346764756</v>
      </c>
      <c r="BI49" s="2">
        <f t="shared" ca="1" si="14"/>
        <v>4776958.8552371049</v>
      </c>
      <c r="BJ49" s="2">
        <f t="shared" ca="1" si="14"/>
        <v>4726540.5653172769</v>
      </c>
      <c r="BK49" s="2">
        <f t="shared" ca="1" si="14"/>
        <v>5095205.4561690865</v>
      </c>
      <c r="BL49" s="2">
        <f t="shared" ca="1" si="14"/>
        <v>5462807.8976498852</v>
      </c>
      <c r="BM49" s="2">
        <f t="shared" ca="1" si="14"/>
        <v>5444472.3575760517</v>
      </c>
      <c r="BN49" s="2">
        <f t="shared" ca="1" si="14"/>
        <v>5775046.5295526767</v>
      </c>
      <c r="BO49" s="2">
        <f t="shared" ca="1" si="14"/>
        <v>6594372.9051112784</v>
      </c>
      <c r="BP49" s="2">
        <f t="shared" ca="1" si="14"/>
        <v>6502568.150398057</v>
      </c>
      <c r="BQ49" s="2">
        <f t="shared" ca="1" si="14"/>
        <v>7284466.817497842</v>
      </c>
    </row>
    <row r="50" spans="1:69" outlineLevel="1">
      <c r="A50" s="18"/>
      <c r="B50" s="18"/>
      <c r="C50" s="28"/>
      <c r="D50" s="27"/>
      <c r="E50" s="4" t="str">
        <f xml:space="preserve">  Time!E$260</f>
        <v>VAT return this period flag</v>
      </c>
      <c r="F50" s="4">
        <f xml:space="preserve">  Time!F$260</f>
        <v>0</v>
      </c>
      <c r="G50" s="4" t="str">
        <f xml:space="preserve">  Time!G$260</f>
        <v>flag</v>
      </c>
      <c r="H50" s="4">
        <f xml:space="preserve">  Time!H$260</f>
        <v>20</v>
      </c>
      <c r="I50" s="4">
        <f xml:space="preserve">  Time!I$260</f>
        <v>0</v>
      </c>
      <c r="J50" s="4">
        <f xml:space="preserve">  Time!J$260</f>
        <v>0</v>
      </c>
      <c r="K50" s="4">
        <f xml:space="preserve">  Time!K$260</f>
        <v>1</v>
      </c>
      <c r="L50" s="4">
        <f xml:space="preserve">  Time!L$260</f>
        <v>0</v>
      </c>
      <c r="M50" s="4">
        <f xml:space="preserve">  Time!M$260</f>
        <v>0</v>
      </c>
      <c r="N50" s="4">
        <f xml:space="preserve">  Time!N$260</f>
        <v>1</v>
      </c>
      <c r="O50" s="4">
        <f xml:space="preserve">  Time!O$260</f>
        <v>0</v>
      </c>
      <c r="P50" s="4">
        <f xml:space="preserve">  Time!P$260</f>
        <v>0</v>
      </c>
      <c r="Q50" s="4">
        <f xml:space="preserve">  Time!Q$260</f>
        <v>1</v>
      </c>
      <c r="R50" s="4">
        <f xml:space="preserve">  Time!R$260</f>
        <v>0</v>
      </c>
      <c r="S50" s="4">
        <f xml:space="preserve">  Time!S$260</f>
        <v>0</v>
      </c>
      <c r="T50" s="4">
        <f xml:space="preserve">  Time!T$260</f>
        <v>1</v>
      </c>
      <c r="U50" s="4">
        <f xml:space="preserve">  Time!U$260</f>
        <v>0</v>
      </c>
      <c r="V50" s="4">
        <f xml:space="preserve">  Time!V$260</f>
        <v>0</v>
      </c>
      <c r="W50" s="4">
        <f xml:space="preserve">  Time!W$260</f>
        <v>1</v>
      </c>
      <c r="X50" s="4">
        <f xml:space="preserve">  Time!X$260</f>
        <v>0</v>
      </c>
      <c r="Y50" s="4">
        <f xml:space="preserve">  Time!Y$260</f>
        <v>0</v>
      </c>
      <c r="Z50" s="4">
        <f xml:space="preserve">  Time!Z$260</f>
        <v>1</v>
      </c>
      <c r="AA50" s="4">
        <f xml:space="preserve">  Time!AA$260</f>
        <v>0</v>
      </c>
      <c r="AB50" s="4">
        <f xml:space="preserve">  Time!AB$260</f>
        <v>0</v>
      </c>
      <c r="AC50" s="4">
        <f xml:space="preserve">  Time!AC$260</f>
        <v>1</v>
      </c>
      <c r="AD50" s="4">
        <f xml:space="preserve">  Time!AD$260</f>
        <v>0</v>
      </c>
      <c r="AE50" s="4">
        <f xml:space="preserve">  Time!AE$260</f>
        <v>0</v>
      </c>
      <c r="AF50" s="4">
        <f xml:space="preserve">  Time!AF$260</f>
        <v>1</v>
      </c>
      <c r="AG50" s="4">
        <f xml:space="preserve">  Time!AG$260</f>
        <v>0</v>
      </c>
      <c r="AH50" s="4">
        <f xml:space="preserve">  Time!AH$260</f>
        <v>0</v>
      </c>
      <c r="AI50" s="4">
        <f xml:space="preserve">  Time!AI$260</f>
        <v>1</v>
      </c>
      <c r="AJ50" s="4">
        <f xml:space="preserve">  Time!AJ$260</f>
        <v>0</v>
      </c>
      <c r="AK50" s="4">
        <f xml:space="preserve">  Time!AK$260</f>
        <v>0</v>
      </c>
      <c r="AL50" s="4">
        <f xml:space="preserve">  Time!AL$260</f>
        <v>1</v>
      </c>
      <c r="AM50" s="4">
        <f xml:space="preserve">  Time!AM$260</f>
        <v>0</v>
      </c>
      <c r="AN50" s="4">
        <f xml:space="preserve">  Time!AN$260</f>
        <v>0</v>
      </c>
      <c r="AO50" s="4">
        <f xml:space="preserve">  Time!AO$260</f>
        <v>1</v>
      </c>
      <c r="AP50" s="4">
        <f xml:space="preserve">  Time!AP$260</f>
        <v>0</v>
      </c>
      <c r="AQ50" s="4">
        <f xml:space="preserve">  Time!AQ$260</f>
        <v>0</v>
      </c>
      <c r="AR50" s="4">
        <f xml:space="preserve">  Time!AR$260</f>
        <v>1</v>
      </c>
      <c r="AS50" s="4">
        <f xml:space="preserve">  Time!AS$260</f>
        <v>0</v>
      </c>
      <c r="AT50" s="4">
        <f xml:space="preserve">  Time!AT$260</f>
        <v>0</v>
      </c>
      <c r="AU50" s="4">
        <f xml:space="preserve">  Time!AU$260</f>
        <v>1</v>
      </c>
      <c r="AV50" s="4">
        <f xml:space="preserve">  Time!AV$260</f>
        <v>0</v>
      </c>
      <c r="AW50" s="4">
        <f xml:space="preserve">  Time!AW$260</f>
        <v>0</v>
      </c>
      <c r="AX50" s="4">
        <f xml:space="preserve">  Time!AX$260</f>
        <v>1</v>
      </c>
      <c r="AY50" s="4">
        <f xml:space="preserve">  Time!AY$260</f>
        <v>0</v>
      </c>
      <c r="AZ50" s="4">
        <f xml:space="preserve">  Time!AZ$260</f>
        <v>0</v>
      </c>
      <c r="BA50" s="4">
        <f xml:space="preserve">  Time!BA$260</f>
        <v>1</v>
      </c>
      <c r="BB50" s="4">
        <f xml:space="preserve">  Time!BB$260</f>
        <v>0</v>
      </c>
      <c r="BC50" s="4">
        <f xml:space="preserve">  Time!BC$260</f>
        <v>0</v>
      </c>
      <c r="BD50" s="4">
        <f xml:space="preserve">  Time!BD$260</f>
        <v>1</v>
      </c>
      <c r="BE50" s="4">
        <f xml:space="preserve">  Time!BE$260</f>
        <v>0</v>
      </c>
      <c r="BF50" s="4">
        <f xml:space="preserve">  Time!BF$260</f>
        <v>0</v>
      </c>
      <c r="BG50" s="4">
        <f xml:space="preserve">  Time!BG$260</f>
        <v>1</v>
      </c>
      <c r="BH50" s="4">
        <f xml:space="preserve">  Time!BH$260</f>
        <v>0</v>
      </c>
      <c r="BI50" s="4">
        <f xml:space="preserve">  Time!BI$260</f>
        <v>0</v>
      </c>
      <c r="BJ50" s="4">
        <f xml:space="preserve">  Time!BJ$260</f>
        <v>1</v>
      </c>
      <c r="BK50" s="4">
        <f xml:space="preserve">  Time!BK$260</f>
        <v>0</v>
      </c>
      <c r="BL50" s="4">
        <f xml:space="preserve">  Time!BL$260</f>
        <v>0</v>
      </c>
      <c r="BM50" s="4">
        <f xml:space="preserve">  Time!BM$260</f>
        <v>1</v>
      </c>
      <c r="BN50" s="4">
        <f xml:space="preserve">  Time!BN$260</f>
        <v>0</v>
      </c>
      <c r="BO50" s="4">
        <f xml:space="preserve">  Time!BO$260</f>
        <v>0</v>
      </c>
      <c r="BP50" s="4">
        <f xml:space="preserve">  Time!BP$260</f>
        <v>1</v>
      </c>
      <c r="BQ50" s="4">
        <f xml:space="preserve">  Time!BQ$260</f>
        <v>0</v>
      </c>
    </row>
    <row r="51" spans="1:69" outlineLevel="1">
      <c r="E51" s="47" t="s">
        <v>202</v>
      </c>
      <c r="G51" s="47" t="s">
        <v>257</v>
      </c>
      <c r="H51" s="2">
        <f ca="1" xml:space="preserve"> SUM( J51:BQ51 )</f>
        <v>105089708.7190737</v>
      </c>
      <c r="J51" s="2">
        <f t="shared" ref="J51:BQ51" ca="1" si="15" xml:space="preserve">  J50 * ( J48 + J49 )</f>
        <v>0</v>
      </c>
      <c r="K51" s="2">
        <f t="shared" ca="1" si="15"/>
        <v>-13400</v>
      </c>
      <c r="L51" s="2">
        <f t="shared" ca="1" si="15"/>
        <v>0</v>
      </c>
      <c r="M51" s="2">
        <f t="shared" ca="1" si="15"/>
        <v>0</v>
      </c>
      <c r="N51" s="2">
        <f t="shared" ca="1" si="15"/>
        <v>97378.428629730886</v>
      </c>
      <c r="O51" s="2">
        <f t="shared" ca="1" si="15"/>
        <v>0</v>
      </c>
      <c r="P51" s="2">
        <f t="shared" ca="1" si="15"/>
        <v>0</v>
      </c>
      <c r="Q51" s="2">
        <f t="shared" ca="1" si="15"/>
        <v>631993.11565471347</v>
      </c>
      <c r="R51" s="2">
        <f t="shared" ca="1" si="15"/>
        <v>0</v>
      </c>
      <c r="S51" s="2">
        <f t="shared" ca="1" si="15"/>
        <v>0</v>
      </c>
      <c r="T51" s="2">
        <f t="shared" ca="1" si="15"/>
        <v>867003.2969292358</v>
      </c>
      <c r="U51" s="2">
        <f t="shared" ca="1" si="15"/>
        <v>0</v>
      </c>
      <c r="V51" s="2">
        <f t="shared" ca="1" si="15"/>
        <v>0</v>
      </c>
      <c r="W51" s="2">
        <f t="shared" ca="1" si="15"/>
        <v>1461967.2447645178</v>
      </c>
      <c r="X51" s="2">
        <f t="shared" ca="1" si="15"/>
        <v>0</v>
      </c>
      <c r="Y51" s="2">
        <f t="shared" ca="1" si="15"/>
        <v>0</v>
      </c>
      <c r="Z51" s="2">
        <f t="shared" ca="1" si="15"/>
        <v>1126177.8940359142</v>
      </c>
      <c r="AA51" s="2">
        <f t="shared" ca="1" si="15"/>
        <v>0</v>
      </c>
      <c r="AB51" s="2">
        <f t="shared" ca="1" si="15"/>
        <v>0</v>
      </c>
      <c r="AC51" s="2">
        <f t="shared" ca="1" si="15"/>
        <v>477913.42386992206</v>
      </c>
      <c r="AD51" s="2">
        <f t="shared" ca="1" si="15"/>
        <v>0</v>
      </c>
      <c r="AE51" s="2">
        <f t="shared" ca="1" si="15"/>
        <v>0</v>
      </c>
      <c r="AF51" s="2">
        <f t="shared" ca="1" si="15"/>
        <v>1551824.6839187241</v>
      </c>
      <c r="AG51" s="2">
        <f t="shared" ca="1" si="15"/>
        <v>0</v>
      </c>
      <c r="AH51" s="2">
        <f t="shared" ca="1" si="15"/>
        <v>0</v>
      </c>
      <c r="AI51" s="2">
        <f t="shared" ca="1" si="15"/>
        <v>2821767.2882357761</v>
      </c>
      <c r="AJ51" s="2">
        <f t="shared" ca="1" si="15"/>
        <v>0</v>
      </c>
      <c r="AK51" s="2">
        <f t="shared" ca="1" si="15"/>
        <v>0</v>
      </c>
      <c r="AL51" s="2">
        <f t="shared" ca="1" si="15"/>
        <v>2615976.0760499444</v>
      </c>
      <c r="AM51" s="2">
        <f t="shared" ca="1" si="15"/>
        <v>0</v>
      </c>
      <c r="AN51" s="2">
        <f t="shared" ca="1" si="15"/>
        <v>0</v>
      </c>
      <c r="AO51" s="2">
        <f t="shared" ca="1" si="15"/>
        <v>1894976.4836217663</v>
      </c>
      <c r="AP51" s="2">
        <f t="shared" ca="1" si="15"/>
        <v>0</v>
      </c>
      <c r="AQ51" s="2">
        <f t="shared" ca="1" si="15"/>
        <v>0</v>
      </c>
      <c r="AR51" s="2">
        <f t="shared" ca="1" si="15"/>
        <v>3418867.0913174599</v>
      </c>
      <c r="AS51" s="2">
        <f t="shared" ca="1" si="15"/>
        <v>0</v>
      </c>
      <c r="AT51" s="2">
        <f t="shared" ca="1" si="15"/>
        <v>0</v>
      </c>
      <c r="AU51" s="2">
        <f t="shared" ca="1" si="15"/>
        <v>5017673.1443326734</v>
      </c>
      <c r="AV51" s="2">
        <f t="shared" ca="1" si="15"/>
        <v>0</v>
      </c>
      <c r="AW51" s="2">
        <f t="shared" ca="1" si="15"/>
        <v>0</v>
      </c>
      <c r="AX51" s="2">
        <f t="shared" ca="1" si="15"/>
        <v>6495484.829641548</v>
      </c>
      <c r="AY51" s="2">
        <f t="shared" ca="1" si="15"/>
        <v>0</v>
      </c>
      <c r="AZ51" s="2">
        <f t="shared" ca="1" si="15"/>
        <v>0</v>
      </c>
      <c r="BA51" s="2">
        <f t="shared" ca="1" si="15"/>
        <v>7576566.7027095417</v>
      </c>
      <c r="BB51" s="2">
        <f t="shared" ca="1" si="15"/>
        <v>0</v>
      </c>
      <c r="BC51" s="2">
        <f t="shared" ca="1" si="15"/>
        <v>0</v>
      </c>
      <c r="BD51" s="2">
        <f t="shared" ca="1" si="15"/>
        <v>9028703.0388964768</v>
      </c>
      <c r="BE51" s="2">
        <f t="shared" ca="1" si="15"/>
        <v>0</v>
      </c>
      <c r="BF51" s="2">
        <f t="shared" ca="1" si="15"/>
        <v>0</v>
      </c>
      <c r="BG51" s="2">
        <f t="shared" ca="1" si="15"/>
        <v>11269262.524777869</v>
      </c>
      <c r="BH51" s="2">
        <f t="shared" ca="1" si="15"/>
        <v>0</v>
      </c>
      <c r="BI51" s="2">
        <f t="shared" ca="1" si="15"/>
        <v>0</v>
      </c>
      <c r="BJ51" s="2">
        <f t="shared" ca="1" si="15"/>
        <v>13875100.155230857</v>
      </c>
      <c r="BK51" s="2">
        <f t="shared" ca="1" si="15"/>
        <v>0</v>
      </c>
      <c r="BL51" s="2">
        <f t="shared" ca="1" si="15"/>
        <v>0</v>
      </c>
      <c r="BM51" s="2">
        <f t="shared" ca="1" si="15"/>
        <v>16002485.711395023</v>
      </c>
      <c r="BN51" s="2">
        <f t="shared" ca="1" si="15"/>
        <v>0</v>
      </c>
      <c r="BO51" s="2">
        <f t="shared" ca="1" si="15"/>
        <v>0</v>
      </c>
      <c r="BP51" s="2">
        <f t="shared" ca="1" si="15"/>
        <v>18871987.585062012</v>
      </c>
      <c r="BQ51" s="2">
        <f t="shared" ca="1" si="15"/>
        <v>0</v>
      </c>
    </row>
    <row r="54" spans="1:69">
      <c r="B54" s="25" t="s">
        <v>271</v>
      </c>
    </row>
  </sheetData>
  <conditionalFormatting sqref="F2:F3">
    <cfRule type="cellIs" dxfId="175" priority="1" stopIfTrue="1" operator="notEqual">
      <formula>0</formula>
    </cfRule>
    <cfRule type="cellIs" dxfId="174" priority="2" stopIfTrue="1" operator="equal">
      <formula>""</formula>
    </cfRule>
  </conditionalFormatting>
  <conditionalFormatting sqref="J3:BQ3">
    <cfRule type="cellIs" dxfId="173" priority="8" operator="equal">
      <formula>"PPA ext."</formula>
    </cfRule>
    <cfRule type="cellIs" dxfId="172" priority="9" operator="equal">
      <formula>"Delay"</formula>
    </cfRule>
    <cfRule type="cellIs" dxfId="171" priority="10" operator="equal">
      <formula>"Fin Close"</formula>
    </cfRule>
    <cfRule type="cellIs" dxfId="170" priority="11" stopIfTrue="1" operator="equal">
      <formula>"Construction"</formula>
    </cfRule>
    <cfRule type="cellIs" dxfId="16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outlinePr summaryBelow="0" summaryRight="0"/>
  </sheetPr>
  <dimension ref="A1:BQ8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4" customWidth="1"/>
    <col min="5" max="5" width="44.441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88671875" style="47" bestFit="1" customWidth="1"/>
    <col min="13" max="13" width="12.33203125" style="47" bestFit="1" customWidth="1"/>
    <col min="14" max="14" width="12.21875" style="47" bestFit="1" customWidth="1"/>
    <col min="15" max="15" width="11.886718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88671875" style="47" bestFit="1" customWidth="1"/>
    <col min="22" max="22" width="12.33203125" style="47" bestFit="1" customWidth="1"/>
    <col min="23" max="23" width="12.109375" style="47" bestFit="1" customWidth="1"/>
    <col min="24" max="24" width="11.88671875" style="47" bestFit="1" customWidth="1"/>
    <col min="25" max="25" width="12.44140625" style="47" bestFit="1" customWidth="1"/>
    <col min="26" max="26" width="12.21875" style="47" bestFit="1" customWidth="1"/>
    <col min="27" max="27" width="11.886718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88671875" style="47" bestFit="1" customWidth="1"/>
    <col min="34" max="34" width="12.33203125" style="47" bestFit="1" customWidth="1"/>
    <col min="35" max="35" width="12.109375" style="47" bestFit="1" customWidth="1"/>
    <col min="36" max="36" width="11.88671875" style="47" bestFit="1" customWidth="1"/>
    <col min="37" max="37" width="12.44140625" style="47" bestFit="1" customWidth="1"/>
    <col min="38" max="38" width="12.21875" style="47" bestFit="1" customWidth="1"/>
    <col min="39" max="39" width="11.886718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88671875" style="47" bestFit="1" customWidth="1"/>
    <col min="46" max="46" width="12.33203125" style="47" bestFit="1" customWidth="1"/>
    <col min="47" max="54" width="12.44140625" style="47" bestFit="1" customWidth="1"/>
    <col min="55" max="60" width="13.21875" style="47" bestFit="1" customWidth="1"/>
    <col min="61" max="61" width="13.88671875" style="47" bestFit="1" customWidth="1"/>
    <col min="62" max="69" width="13.218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Corporation tax</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268</v>
      </c>
    </row>
    <row r="9" spans="1:69" outlineLevel="1">
      <c r="A9" s="18"/>
      <c r="B9" s="18"/>
      <c r="C9" s="28"/>
      <c r="D9" s="27"/>
      <c r="E9" s="4" t="str">
        <f xml:space="preserve">  'Income Statement'!E$11</f>
        <v>EBITDA</v>
      </c>
      <c r="F9" s="4">
        <f xml:space="preserve">  'Income Statement'!F$11</f>
        <v>0</v>
      </c>
      <c r="G9" s="4" t="str">
        <f xml:space="preserve">  'Income Statement'!G$11</f>
        <v>GBP</v>
      </c>
      <c r="H9" s="4">
        <f ca="1" xml:space="preserve">  'Income Statement'!H$11</f>
        <v>340527397.30397832</v>
      </c>
      <c r="I9" s="4">
        <f xml:space="preserve">  'Income Statement'!I$11</f>
        <v>0</v>
      </c>
      <c r="J9" s="4">
        <f ca="1" xml:space="preserve">  'Income Statement'!J$11</f>
        <v>-67000</v>
      </c>
      <c r="K9" s="4">
        <f ca="1" xml:space="preserve">  'Income Statement'!K$11</f>
        <v>-67000</v>
      </c>
      <c r="L9" s="4">
        <f ca="1" xml:space="preserve">  'Income Statement'!L$11</f>
        <v>3000</v>
      </c>
      <c r="M9" s="4">
        <f ca="1" xml:space="preserve">  'Income Statement'!M$11</f>
        <v>37392.143148654483</v>
      </c>
      <c r="N9" s="4">
        <f ca="1" xml:space="preserve">  'Income Statement'!N$11</f>
        <v>-11607.856851345517</v>
      </c>
      <c r="O9" s="4">
        <f ca="1" xml:space="preserve">  'Income Statement'!O$11</f>
        <v>23392.143148654483</v>
      </c>
      <c r="P9" s="4">
        <f ca="1" xml:space="preserve">  'Income Statement'!P$11</f>
        <v>197769.50669923986</v>
      </c>
      <c r="Q9" s="4">
        <f ca="1" xml:space="preserve">  'Income Statement'!Q$11</f>
        <v>218769.50669923986</v>
      </c>
      <c r="R9" s="4">
        <f ca="1" xml:space="preserve">  'Income Statement'!R$11</f>
        <v>288769.50669923984</v>
      </c>
      <c r="S9" s="4">
        <f ca="1" xml:space="preserve">  'Income Statement'!S$11</f>
        <v>288131.73129655828</v>
      </c>
      <c r="T9" s="4">
        <f ca="1" xml:space="preserve">  'Income Statement'!T$11</f>
        <v>638131.73129655828</v>
      </c>
      <c r="U9" s="4">
        <f ca="1" xml:space="preserve">  'Income Statement'!U$11</f>
        <v>638131.73129655828</v>
      </c>
      <c r="V9" s="4">
        <f ca="1" xml:space="preserve">  'Income Statement'!V$11</f>
        <v>975012.75018454797</v>
      </c>
      <c r="W9" s="4">
        <f ca="1" xml:space="preserve">  'Income Statement'!W$11</f>
        <v>1252189.0113679084</v>
      </c>
      <c r="X9" s="4">
        <f ca="1" xml:space="preserve">  'Income Statement'!X$11</f>
        <v>1297766.5058494285</v>
      </c>
      <c r="Y9" s="4">
        <f ca="1" xml:space="preserve">  'Income Statement'!Y$11</f>
        <v>1627193.3349507609</v>
      </c>
      <c r="Z9" s="4">
        <f ca="1" xml:space="preserve">  'Income Statement'!Z$11</f>
        <v>1616512.2409604841</v>
      </c>
      <c r="AA9" s="4">
        <f ca="1" xml:space="preserve">  'Income Statement'!AA$11</f>
        <v>1599843.7622378413</v>
      </c>
      <c r="AB9" s="4">
        <f ca="1" xml:space="preserve">  'Income Statement'!AB$11</f>
        <v>1581500.1056152987</v>
      </c>
      <c r="AC9" s="4">
        <f ca="1" xml:space="preserve">  'Income Statement'!AC$11</f>
        <v>1562790.3708460801</v>
      </c>
      <c r="AD9" s="4">
        <f ca="1" xml:space="preserve">  'Income Statement'!AD$11</f>
        <v>1542968.0973528419</v>
      </c>
      <c r="AE9" s="4">
        <f ca="1" xml:space="preserve">  'Income Statement'!AE$11</f>
        <v>1696264.245770883</v>
      </c>
      <c r="AF9" s="4">
        <f ca="1" xml:space="preserve">  'Income Statement'!AF$11</f>
        <v>1849014.4960635144</v>
      </c>
      <c r="AG9" s="4">
        <f ca="1" xml:space="preserve">  'Income Statement'!AG$11</f>
        <v>2000441.7073898257</v>
      </c>
      <c r="AH9" s="4">
        <f ca="1" xml:space="preserve">  'Income Statement'!AH$11</f>
        <v>2251972.8696589647</v>
      </c>
      <c r="AI9" s="4">
        <f ca="1" xml:space="preserve">  'Income Statement'!AI$11</f>
        <v>2365513.3089999319</v>
      </c>
      <c r="AJ9" s="4">
        <f ca="1" xml:space="preserve">  'Income Statement'!AJ$11</f>
        <v>2652480.3809887255</v>
      </c>
      <c r="AK9" s="4">
        <f ca="1" xml:space="preserve">  'Income Statement'!AK$11</f>
        <v>2762045.636807661</v>
      </c>
      <c r="AL9" s="4">
        <f ca="1" xml:space="preserve">  'Income Statement'!AL$11</f>
        <v>2899979.7390120933</v>
      </c>
      <c r="AM9" s="4">
        <f ca="1" xml:space="preserve">  'Income Statement'!AM$11</f>
        <v>3111642.7815668075</v>
      </c>
      <c r="AN9" s="4">
        <f ca="1" xml:space="preserve">  'Income Statement'!AN$11</f>
        <v>3320570.7620946448</v>
      </c>
      <c r="AO9" s="4">
        <f ca="1" xml:space="preserve">  'Income Statement'!AO$11</f>
        <v>3382551.2925562072</v>
      </c>
      <c r="AP9" s="4">
        <f ca="1" xml:space="preserve">  'Income Statement'!AP$11</f>
        <v>3692906.7455697311</v>
      </c>
      <c r="AQ9" s="4">
        <f ca="1" xml:space="preserve">  'Income Statement'!AQ$11</f>
        <v>3825131.8335098061</v>
      </c>
      <c r="AR9" s="4">
        <f ca="1" xml:space="preserve">  'Income Statement'!AR$11</f>
        <v>4130632.3340950687</v>
      </c>
      <c r="AS9" s="4">
        <f ca="1" xml:space="preserve">  'Income Statement'!AS$11</f>
        <v>4433486.7567476919</v>
      </c>
      <c r="AT9" s="4">
        <f ca="1" xml:space="preserve">  'Income Statement'!AT$11</f>
        <v>4886129.2635839609</v>
      </c>
      <c r="AU9" s="4">
        <f ca="1" xml:space="preserve">  'Income Statement'!AU$11</f>
        <v>5149872.4815151896</v>
      </c>
      <c r="AV9" s="4">
        <f ca="1" xml:space="preserve">  'Income Statement'!AV$11</f>
        <v>5573080.5627622576</v>
      </c>
      <c r="AW9" s="4">
        <f ca="1" xml:space="preserve">  'Income Statement'!AW$11</f>
        <v>6154021.1902558384</v>
      </c>
      <c r="AX9" s="4">
        <f ca="1" xml:space="preserve">  'Income Statement'!AX$11</f>
        <v>6543332.7661769409</v>
      </c>
      <c r="AY9" s="4">
        <f ca="1" xml:space="preserve">  'Income Statement'!AY$11</f>
        <v>7089169.8470206996</v>
      </c>
      <c r="AZ9" s="4">
        <f ca="1" xml:space="preserve">  'Income Statement'!AZ$11</f>
        <v>7614605.686689809</v>
      </c>
      <c r="BA9" s="4">
        <f ca="1" xml:space="preserve">  'Income Statement'!BA$11</f>
        <v>8120132.8022262035</v>
      </c>
      <c r="BB9" s="4">
        <f ca="1" xml:space="preserve">  'Income Statement'!BB$11</f>
        <v>8603689.9167705346</v>
      </c>
      <c r="BC9" s="4">
        <f ca="1" xml:space="preserve">  'Income Statement'!BC$11</f>
        <v>9238120.5546223614</v>
      </c>
      <c r="BD9" s="4">
        <f ca="1" xml:space="preserve">  'Income Statement'!BD$11</f>
        <v>9848740.7716176622</v>
      </c>
      <c r="BE9" s="4">
        <f ca="1" xml:space="preserve">  'Income Statement'!BE$11</f>
        <v>10608234.107116587</v>
      </c>
      <c r="BF9" s="4">
        <f ca="1" xml:space="preserve">  'Income Statement'!BF$11</f>
        <v>11307706.552829666</v>
      </c>
      <c r="BG9" s="4">
        <f ca="1" xml:space="preserve">  'Income Statement'!BG$11</f>
        <v>11978692.988692125</v>
      </c>
      <c r="BH9" s="4">
        <f ca="1" xml:space="preserve">  'Income Statement'!BH$11</f>
        <v>12793609.151186263</v>
      </c>
      <c r="BI9" s="4">
        <f ca="1" xml:space="preserve">  'Income Statement'!BI$11</f>
        <v>13574717.989329349</v>
      </c>
      <c r="BJ9" s="4">
        <f ca="1" xml:space="preserve">  'Income Statement'!BJ$11</f>
        <v>14433841.141171558</v>
      </c>
      <c r="BK9" s="4">
        <f ca="1" xml:space="preserve">  'Income Statement'!BK$11</f>
        <v>15256015.302859072</v>
      </c>
      <c r="BL9" s="4">
        <f ca="1" xml:space="preserve">  'Income Statement'!BL$11</f>
        <v>16213132.24076022</v>
      </c>
      <c r="BM9" s="4">
        <f ca="1" xml:space="preserve">  'Income Statement'!BM$11</f>
        <v>17066686.471833006</v>
      </c>
      <c r="BN9" s="4">
        <f ca="1" xml:space="preserve">  'Income Statement'!BN$11</f>
        <v>18051300.70092167</v>
      </c>
      <c r="BO9" s="4">
        <f ca="1" xml:space="preserve">  'Income Statement'!BO$11</f>
        <v>19163435.353809442</v>
      </c>
      <c r="BP9" s="4">
        <f ca="1" xml:space="preserve">  'Income Statement'!BP$11</f>
        <v>20227175.78780004</v>
      </c>
      <c r="BQ9" s="4">
        <f ca="1" xml:space="preserve">  'Income Statement'!BQ$11</f>
        <v>21413662.458797891</v>
      </c>
    </row>
    <row r="10" spans="1:69" outlineLevel="1">
      <c r="E10" s="47" t="s">
        <v>268</v>
      </c>
      <c r="G10" s="47" t="s">
        <v>257</v>
      </c>
      <c r="H10" s="2">
        <f ca="1" xml:space="preserve"> SUM( J10:BQ10 )</f>
        <v>340527397.30397832</v>
      </c>
      <c r="J10" s="2">
        <f t="shared" ref="J10:BQ10" ca="1" si="0" xml:space="preserve">  J9</f>
        <v>-67000</v>
      </c>
      <c r="K10" s="2">
        <f t="shared" ca="1" si="0"/>
        <v>-67000</v>
      </c>
      <c r="L10" s="2">
        <f t="shared" ca="1" si="0"/>
        <v>3000</v>
      </c>
      <c r="M10" s="2">
        <f t="shared" ca="1" si="0"/>
        <v>37392.143148654483</v>
      </c>
      <c r="N10" s="2">
        <f t="shared" ca="1" si="0"/>
        <v>-11607.856851345517</v>
      </c>
      <c r="O10" s="2">
        <f t="shared" ca="1" si="0"/>
        <v>23392.143148654483</v>
      </c>
      <c r="P10" s="2">
        <f t="shared" ca="1" si="0"/>
        <v>197769.50669923986</v>
      </c>
      <c r="Q10" s="2">
        <f t="shared" ca="1" si="0"/>
        <v>218769.50669923986</v>
      </c>
      <c r="R10" s="2">
        <f t="shared" ca="1" si="0"/>
        <v>288769.50669923984</v>
      </c>
      <c r="S10" s="2">
        <f t="shared" ca="1" si="0"/>
        <v>288131.73129655828</v>
      </c>
      <c r="T10" s="2">
        <f t="shared" ca="1" si="0"/>
        <v>638131.73129655828</v>
      </c>
      <c r="U10" s="2">
        <f t="shared" ca="1" si="0"/>
        <v>638131.73129655828</v>
      </c>
      <c r="V10" s="2">
        <f t="shared" ca="1" si="0"/>
        <v>975012.75018454797</v>
      </c>
      <c r="W10" s="2">
        <f t="shared" ca="1" si="0"/>
        <v>1252189.0113679084</v>
      </c>
      <c r="X10" s="2">
        <f t="shared" ca="1" si="0"/>
        <v>1297766.5058494285</v>
      </c>
      <c r="Y10" s="2">
        <f t="shared" ca="1" si="0"/>
        <v>1627193.3349507609</v>
      </c>
      <c r="Z10" s="2">
        <f t="shared" ca="1" si="0"/>
        <v>1616512.2409604841</v>
      </c>
      <c r="AA10" s="2">
        <f t="shared" ca="1" si="0"/>
        <v>1599843.7622378413</v>
      </c>
      <c r="AB10" s="2">
        <f t="shared" ca="1" si="0"/>
        <v>1581500.1056152987</v>
      </c>
      <c r="AC10" s="2">
        <f t="shared" ca="1" si="0"/>
        <v>1562790.3708460801</v>
      </c>
      <c r="AD10" s="2">
        <f t="shared" ca="1" si="0"/>
        <v>1542968.0973528419</v>
      </c>
      <c r="AE10" s="2">
        <f t="shared" ca="1" si="0"/>
        <v>1696264.245770883</v>
      </c>
      <c r="AF10" s="2">
        <f t="shared" ca="1" si="0"/>
        <v>1849014.4960635144</v>
      </c>
      <c r="AG10" s="2">
        <f t="shared" ca="1" si="0"/>
        <v>2000441.7073898257</v>
      </c>
      <c r="AH10" s="2">
        <f t="shared" ca="1" si="0"/>
        <v>2251972.8696589647</v>
      </c>
      <c r="AI10" s="2">
        <f t="shared" ca="1" si="0"/>
        <v>2365513.3089999319</v>
      </c>
      <c r="AJ10" s="2">
        <f t="shared" ca="1" si="0"/>
        <v>2652480.3809887255</v>
      </c>
      <c r="AK10" s="2">
        <f t="shared" ca="1" si="0"/>
        <v>2762045.636807661</v>
      </c>
      <c r="AL10" s="2">
        <f t="shared" ca="1" si="0"/>
        <v>2899979.7390120933</v>
      </c>
      <c r="AM10" s="2">
        <f t="shared" ca="1" si="0"/>
        <v>3111642.7815668075</v>
      </c>
      <c r="AN10" s="2">
        <f t="shared" ca="1" si="0"/>
        <v>3320570.7620946448</v>
      </c>
      <c r="AO10" s="2">
        <f t="shared" ca="1" si="0"/>
        <v>3382551.2925562072</v>
      </c>
      <c r="AP10" s="2">
        <f t="shared" ca="1" si="0"/>
        <v>3692906.7455697311</v>
      </c>
      <c r="AQ10" s="2">
        <f t="shared" ca="1" si="0"/>
        <v>3825131.8335098061</v>
      </c>
      <c r="AR10" s="2">
        <f t="shared" ca="1" si="0"/>
        <v>4130632.3340950687</v>
      </c>
      <c r="AS10" s="2">
        <f t="shared" ca="1" si="0"/>
        <v>4433486.7567476919</v>
      </c>
      <c r="AT10" s="2">
        <f t="shared" ca="1" si="0"/>
        <v>4886129.2635839609</v>
      </c>
      <c r="AU10" s="2">
        <f t="shared" ca="1" si="0"/>
        <v>5149872.4815151896</v>
      </c>
      <c r="AV10" s="2">
        <f t="shared" ca="1" si="0"/>
        <v>5573080.5627622576</v>
      </c>
      <c r="AW10" s="2">
        <f t="shared" ca="1" si="0"/>
        <v>6154021.1902558384</v>
      </c>
      <c r="AX10" s="2">
        <f t="shared" ca="1" si="0"/>
        <v>6543332.7661769409</v>
      </c>
      <c r="AY10" s="2">
        <f t="shared" ca="1" si="0"/>
        <v>7089169.8470206996</v>
      </c>
      <c r="AZ10" s="2">
        <f t="shared" ca="1" si="0"/>
        <v>7614605.686689809</v>
      </c>
      <c r="BA10" s="2">
        <f t="shared" ca="1" si="0"/>
        <v>8120132.8022262035</v>
      </c>
      <c r="BB10" s="2">
        <f t="shared" ca="1" si="0"/>
        <v>8603689.9167705346</v>
      </c>
      <c r="BC10" s="2">
        <f t="shared" ca="1" si="0"/>
        <v>9238120.5546223614</v>
      </c>
      <c r="BD10" s="2">
        <f t="shared" ca="1" si="0"/>
        <v>9848740.7716176622</v>
      </c>
      <c r="BE10" s="2">
        <f t="shared" ca="1" si="0"/>
        <v>10608234.107116587</v>
      </c>
      <c r="BF10" s="2">
        <f t="shared" ca="1" si="0"/>
        <v>11307706.552829666</v>
      </c>
      <c r="BG10" s="2">
        <f t="shared" ca="1" si="0"/>
        <v>11978692.988692125</v>
      </c>
      <c r="BH10" s="2">
        <f t="shared" ca="1" si="0"/>
        <v>12793609.151186263</v>
      </c>
      <c r="BI10" s="2">
        <f t="shared" ca="1" si="0"/>
        <v>13574717.989329349</v>
      </c>
      <c r="BJ10" s="2">
        <f t="shared" ca="1" si="0"/>
        <v>14433841.141171558</v>
      </c>
      <c r="BK10" s="2">
        <f t="shared" ca="1" si="0"/>
        <v>15256015.302859072</v>
      </c>
      <c r="BL10" s="2">
        <f t="shared" ca="1" si="0"/>
        <v>16213132.24076022</v>
      </c>
      <c r="BM10" s="2">
        <f t="shared" ca="1" si="0"/>
        <v>17066686.471833006</v>
      </c>
      <c r="BN10" s="2">
        <f t="shared" ca="1" si="0"/>
        <v>18051300.70092167</v>
      </c>
      <c r="BO10" s="2">
        <f t="shared" ca="1" si="0"/>
        <v>19163435.353809442</v>
      </c>
      <c r="BP10" s="2">
        <f t="shared" ca="1" si="0"/>
        <v>20227175.78780004</v>
      </c>
      <c r="BQ10" s="2">
        <f t="shared" ca="1" si="0"/>
        <v>21413662.458797891</v>
      </c>
    </row>
    <row r="13" spans="1:69">
      <c r="B13" s="25" t="s">
        <v>16</v>
      </c>
    </row>
    <row r="14" spans="1:69" outlineLevel="1">
      <c r="E14" s="2" t="str">
        <f t="shared" ref="E14:BQ14" si="1" xml:space="preserve">  E$10</f>
        <v>Taxable income / (Tax losses arising)</v>
      </c>
      <c r="F14" s="2">
        <f t="shared" si="1"/>
        <v>0</v>
      </c>
      <c r="G14" s="2" t="str">
        <f t="shared" si="1"/>
        <v>GBP</v>
      </c>
      <c r="H14" s="2">
        <f t="shared" ca="1" si="1"/>
        <v>340527397.30397832</v>
      </c>
      <c r="I14" s="2">
        <f t="shared" si="1"/>
        <v>0</v>
      </c>
      <c r="J14" s="2">
        <f t="shared" ca="1" si="1"/>
        <v>-67000</v>
      </c>
      <c r="K14" s="2">
        <f t="shared" ca="1" si="1"/>
        <v>-67000</v>
      </c>
      <c r="L14" s="2">
        <f t="shared" ca="1" si="1"/>
        <v>3000</v>
      </c>
      <c r="M14" s="2">
        <f t="shared" ca="1" si="1"/>
        <v>37392.143148654483</v>
      </c>
      <c r="N14" s="2">
        <f t="shared" ca="1" si="1"/>
        <v>-11607.856851345517</v>
      </c>
      <c r="O14" s="2">
        <f t="shared" ca="1" si="1"/>
        <v>23392.143148654483</v>
      </c>
      <c r="P14" s="2">
        <f t="shared" ca="1" si="1"/>
        <v>197769.50669923986</v>
      </c>
      <c r="Q14" s="2">
        <f t="shared" ca="1" si="1"/>
        <v>218769.50669923986</v>
      </c>
      <c r="R14" s="2">
        <f t="shared" ca="1" si="1"/>
        <v>288769.50669923984</v>
      </c>
      <c r="S14" s="2">
        <f t="shared" ca="1" si="1"/>
        <v>288131.73129655828</v>
      </c>
      <c r="T14" s="2">
        <f t="shared" ca="1" si="1"/>
        <v>638131.73129655828</v>
      </c>
      <c r="U14" s="2">
        <f t="shared" ca="1" si="1"/>
        <v>638131.73129655828</v>
      </c>
      <c r="V14" s="2">
        <f t="shared" ca="1" si="1"/>
        <v>975012.75018454797</v>
      </c>
      <c r="W14" s="2">
        <f t="shared" ca="1" si="1"/>
        <v>1252189.0113679084</v>
      </c>
      <c r="X14" s="2">
        <f t="shared" ca="1" si="1"/>
        <v>1297766.5058494285</v>
      </c>
      <c r="Y14" s="2">
        <f t="shared" ca="1" si="1"/>
        <v>1627193.3349507609</v>
      </c>
      <c r="Z14" s="2">
        <f t="shared" ca="1" si="1"/>
        <v>1616512.2409604841</v>
      </c>
      <c r="AA14" s="2">
        <f t="shared" ca="1" si="1"/>
        <v>1599843.7622378413</v>
      </c>
      <c r="AB14" s="2">
        <f t="shared" ca="1" si="1"/>
        <v>1581500.1056152987</v>
      </c>
      <c r="AC14" s="2">
        <f t="shared" ca="1" si="1"/>
        <v>1562790.3708460801</v>
      </c>
      <c r="AD14" s="2">
        <f t="shared" ca="1" si="1"/>
        <v>1542968.0973528419</v>
      </c>
      <c r="AE14" s="2">
        <f t="shared" ca="1" si="1"/>
        <v>1696264.245770883</v>
      </c>
      <c r="AF14" s="2">
        <f t="shared" ca="1" si="1"/>
        <v>1849014.4960635144</v>
      </c>
      <c r="AG14" s="2">
        <f t="shared" ca="1" si="1"/>
        <v>2000441.7073898257</v>
      </c>
      <c r="AH14" s="2">
        <f t="shared" ca="1" si="1"/>
        <v>2251972.8696589647</v>
      </c>
      <c r="AI14" s="2">
        <f t="shared" ca="1" si="1"/>
        <v>2365513.3089999319</v>
      </c>
      <c r="AJ14" s="2">
        <f t="shared" ca="1" si="1"/>
        <v>2652480.3809887255</v>
      </c>
      <c r="AK14" s="2">
        <f t="shared" ca="1" si="1"/>
        <v>2762045.636807661</v>
      </c>
      <c r="AL14" s="2">
        <f t="shared" ca="1" si="1"/>
        <v>2899979.7390120933</v>
      </c>
      <c r="AM14" s="2">
        <f t="shared" ca="1" si="1"/>
        <v>3111642.7815668075</v>
      </c>
      <c r="AN14" s="2">
        <f t="shared" ca="1" si="1"/>
        <v>3320570.7620946448</v>
      </c>
      <c r="AO14" s="2">
        <f t="shared" ca="1" si="1"/>
        <v>3382551.2925562072</v>
      </c>
      <c r="AP14" s="2">
        <f t="shared" ca="1" si="1"/>
        <v>3692906.7455697311</v>
      </c>
      <c r="AQ14" s="2">
        <f t="shared" ca="1" si="1"/>
        <v>3825131.8335098061</v>
      </c>
      <c r="AR14" s="2">
        <f t="shared" ca="1" si="1"/>
        <v>4130632.3340950687</v>
      </c>
      <c r="AS14" s="2">
        <f t="shared" ca="1" si="1"/>
        <v>4433486.7567476919</v>
      </c>
      <c r="AT14" s="2">
        <f t="shared" ca="1" si="1"/>
        <v>4886129.2635839609</v>
      </c>
      <c r="AU14" s="2">
        <f t="shared" ca="1" si="1"/>
        <v>5149872.4815151896</v>
      </c>
      <c r="AV14" s="2">
        <f t="shared" ca="1" si="1"/>
        <v>5573080.5627622576</v>
      </c>
      <c r="AW14" s="2">
        <f t="shared" ca="1" si="1"/>
        <v>6154021.1902558384</v>
      </c>
      <c r="AX14" s="2">
        <f t="shared" ca="1" si="1"/>
        <v>6543332.7661769409</v>
      </c>
      <c r="AY14" s="2">
        <f t="shared" ca="1" si="1"/>
        <v>7089169.8470206996</v>
      </c>
      <c r="AZ14" s="2">
        <f t="shared" ca="1" si="1"/>
        <v>7614605.686689809</v>
      </c>
      <c r="BA14" s="2">
        <f t="shared" ca="1" si="1"/>
        <v>8120132.8022262035</v>
      </c>
      <c r="BB14" s="2">
        <f t="shared" ca="1" si="1"/>
        <v>8603689.9167705346</v>
      </c>
      <c r="BC14" s="2">
        <f t="shared" ca="1" si="1"/>
        <v>9238120.5546223614</v>
      </c>
      <c r="BD14" s="2">
        <f t="shared" ca="1" si="1"/>
        <v>9848740.7716176622</v>
      </c>
      <c r="BE14" s="2">
        <f t="shared" ca="1" si="1"/>
        <v>10608234.107116587</v>
      </c>
      <c r="BF14" s="2">
        <f t="shared" ca="1" si="1"/>
        <v>11307706.552829666</v>
      </c>
      <c r="BG14" s="2">
        <f t="shared" ca="1" si="1"/>
        <v>11978692.988692125</v>
      </c>
      <c r="BH14" s="2">
        <f t="shared" ca="1" si="1"/>
        <v>12793609.151186263</v>
      </c>
      <c r="BI14" s="2">
        <f t="shared" ca="1" si="1"/>
        <v>13574717.989329349</v>
      </c>
      <c r="BJ14" s="2">
        <f t="shared" ca="1" si="1"/>
        <v>14433841.141171558</v>
      </c>
      <c r="BK14" s="2">
        <f t="shared" ca="1" si="1"/>
        <v>15256015.302859072</v>
      </c>
      <c r="BL14" s="2">
        <f t="shared" ca="1" si="1"/>
        <v>16213132.24076022</v>
      </c>
      <c r="BM14" s="2">
        <f t="shared" ca="1" si="1"/>
        <v>17066686.471833006</v>
      </c>
      <c r="BN14" s="2">
        <f t="shared" ca="1" si="1"/>
        <v>18051300.70092167</v>
      </c>
      <c r="BO14" s="2">
        <f t="shared" ca="1" si="1"/>
        <v>19163435.353809442</v>
      </c>
      <c r="BP14" s="2">
        <f t="shared" ca="1" si="1"/>
        <v>20227175.78780004</v>
      </c>
      <c r="BQ14" s="2">
        <f t="shared" ca="1" si="1"/>
        <v>21413662.458797891</v>
      </c>
    </row>
    <row r="15" spans="1:69" outlineLevel="1">
      <c r="E15" s="47" t="s">
        <v>16</v>
      </c>
      <c r="G15" s="47" t="s">
        <v>257</v>
      </c>
      <c r="H15" s="2">
        <f ca="1" xml:space="preserve"> SUM( J15:BQ15 )</f>
        <v>340673005.16082966</v>
      </c>
      <c r="J15" s="2">
        <f t="shared" ref="J15:BQ15" ca="1" si="2" xml:space="preserve">  MAX( J14, 0 )</f>
        <v>0</v>
      </c>
      <c r="K15" s="2">
        <f t="shared" ca="1" si="2"/>
        <v>0</v>
      </c>
      <c r="L15" s="2">
        <f t="shared" ca="1" si="2"/>
        <v>3000</v>
      </c>
      <c r="M15" s="2">
        <f t="shared" ca="1" si="2"/>
        <v>37392.143148654483</v>
      </c>
      <c r="N15" s="2">
        <f t="shared" ca="1" si="2"/>
        <v>0</v>
      </c>
      <c r="O15" s="2">
        <f t="shared" ca="1" si="2"/>
        <v>23392.143148654483</v>
      </c>
      <c r="P15" s="2">
        <f t="shared" ca="1" si="2"/>
        <v>197769.50669923986</v>
      </c>
      <c r="Q15" s="2">
        <f t="shared" ca="1" si="2"/>
        <v>218769.50669923986</v>
      </c>
      <c r="R15" s="2">
        <f t="shared" ca="1" si="2"/>
        <v>288769.50669923984</v>
      </c>
      <c r="S15" s="2">
        <f t="shared" ca="1" si="2"/>
        <v>288131.73129655828</v>
      </c>
      <c r="T15" s="2">
        <f t="shared" ca="1" si="2"/>
        <v>638131.73129655828</v>
      </c>
      <c r="U15" s="2">
        <f t="shared" ca="1" si="2"/>
        <v>638131.73129655828</v>
      </c>
      <c r="V15" s="2">
        <f t="shared" ca="1" si="2"/>
        <v>975012.75018454797</v>
      </c>
      <c r="W15" s="2">
        <f t="shared" ca="1" si="2"/>
        <v>1252189.0113679084</v>
      </c>
      <c r="X15" s="2">
        <f t="shared" ca="1" si="2"/>
        <v>1297766.5058494285</v>
      </c>
      <c r="Y15" s="2">
        <f t="shared" ca="1" si="2"/>
        <v>1627193.3349507609</v>
      </c>
      <c r="Z15" s="2">
        <f t="shared" ca="1" si="2"/>
        <v>1616512.2409604841</v>
      </c>
      <c r="AA15" s="2">
        <f t="shared" ca="1" si="2"/>
        <v>1599843.7622378413</v>
      </c>
      <c r="AB15" s="2">
        <f t="shared" ca="1" si="2"/>
        <v>1581500.1056152987</v>
      </c>
      <c r="AC15" s="2">
        <f t="shared" ca="1" si="2"/>
        <v>1562790.3708460801</v>
      </c>
      <c r="AD15" s="2">
        <f t="shared" ca="1" si="2"/>
        <v>1542968.0973528419</v>
      </c>
      <c r="AE15" s="2">
        <f t="shared" ca="1" si="2"/>
        <v>1696264.245770883</v>
      </c>
      <c r="AF15" s="2">
        <f t="shared" ca="1" si="2"/>
        <v>1849014.4960635144</v>
      </c>
      <c r="AG15" s="2">
        <f t="shared" ca="1" si="2"/>
        <v>2000441.7073898257</v>
      </c>
      <c r="AH15" s="2">
        <f t="shared" ca="1" si="2"/>
        <v>2251972.8696589647</v>
      </c>
      <c r="AI15" s="2">
        <f t="shared" ca="1" si="2"/>
        <v>2365513.3089999319</v>
      </c>
      <c r="AJ15" s="2">
        <f t="shared" ca="1" si="2"/>
        <v>2652480.3809887255</v>
      </c>
      <c r="AK15" s="2">
        <f t="shared" ca="1" si="2"/>
        <v>2762045.636807661</v>
      </c>
      <c r="AL15" s="2">
        <f t="shared" ca="1" si="2"/>
        <v>2899979.7390120933</v>
      </c>
      <c r="AM15" s="2">
        <f t="shared" ca="1" si="2"/>
        <v>3111642.7815668075</v>
      </c>
      <c r="AN15" s="2">
        <f t="shared" ca="1" si="2"/>
        <v>3320570.7620946448</v>
      </c>
      <c r="AO15" s="2">
        <f t="shared" ca="1" si="2"/>
        <v>3382551.2925562072</v>
      </c>
      <c r="AP15" s="2">
        <f t="shared" ca="1" si="2"/>
        <v>3692906.7455697311</v>
      </c>
      <c r="AQ15" s="2">
        <f t="shared" ca="1" si="2"/>
        <v>3825131.8335098061</v>
      </c>
      <c r="AR15" s="2">
        <f t="shared" ca="1" si="2"/>
        <v>4130632.3340950687</v>
      </c>
      <c r="AS15" s="2">
        <f t="shared" ca="1" si="2"/>
        <v>4433486.7567476919</v>
      </c>
      <c r="AT15" s="2">
        <f t="shared" ca="1" si="2"/>
        <v>4886129.2635839609</v>
      </c>
      <c r="AU15" s="2">
        <f t="shared" ca="1" si="2"/>
        <v>5149872.4815151896</v>
      </c>
      <c r="AV15" s="2">
        <f t="shared" ca="1" si="2"/>
        <v>5573080.5627622576</v>
      </c>
      <c r="AW15" s="2">
        <f t="shared" ca="1" si="2"/>
        <v>6154021.1902558384</v>
      </c>
      <c r="AX15" s="2">
        <f t="shared" ca="1" si="2"/>
        <v>6543332.7661769409</v>
      </c>
      <c r="AY15" s="2">
        <f t="shared" ca="1" si="2"/>
        <v>7089169.8470206996</v>
      </c>
      <c r="AZ15" s="2">
        <f t="shared" ca="1" si="2"/>
        <v>7614605.686689809</v>
      </c>
      <c r="BA15" s="2">
        <f t="shared" ca="1" si="2"/>
        <v>8120132.8022262035</v>
      </c>
      <c r="BB15" s="2">
        <f t="shared" ca="1" si="2"/>
        <v>8603689.9167705346</v>
      </c>
      <c r="BC15" s="2">
        <f t="shared" ca="1" si="2"/>
        <v>9238120.5546223614</v>
      </c>
      <c r="BD15" s="2">
        <f t="shared" ca="1" si="2"/>
        <v>9848740.7716176622</v>
      </c>
      <c r="BE15" s="2">
        <f t="shared" ca="1" si="2"/>
        <v>10608234.107116587</v>
      </c>
      <c r="BF15" s="2">
        <f t="shared" ca="1" si="2"/>
        <v>11307706.552829666</v>
      </c>
      <c r="BG15" s="2">
        <f t="shared" ca="1" si="2"/>
        <v>11978692.988692125</v>
      </c>
      <c r="BH15" s="2">
        <f t="shared" ca="1" si="2"/>
        <v>12793609.151186263</v>
      </c>
      <c r="BI15" s="2">
        <f t="shared" ca="1" si="2"/>
        <v>13574717.989329349</v>
      </c>
      <c r="BJ15" s="2">
        <f t="shared" ca="1" si="2"/>
        <v>14433841.141171558</v>
      </c>
      <c r="BK15" s="2">
        <f t="shared" ca="1" si="2"/>
        <v>15256015.302859072</v>
      </c>
      <c r="BL15" s="2">
        <f t="shared" ca="1" si="2"/>
        <v>16213132.24076022</v>
      </c>
      <c r="BM15" s="2">
        <f t="shared" ca="1" si="2"/>
        <v>17066686.471833006</v>
      </c>
      <c r="BN15" s="2">
        <f t="shared" ca="1" si="2"/>
        <v>18051300.70092167</v>
      </c>
      <c r="BO15" s="2">
        <f t="shared" ca="1" si="2"/>
        <v>19163435.353809442</v>
      </c>
      <c r="BP15" s="2">
        <f t="shared" ca="1" si="2"/>
        <v>20227175.78780004</v>
      </c>
      <c r="BQ15" s="2">
        <f t="shared" ca="1" si="2"/>
        <v>21413662.458797891</v>
      </c>
    </row>
    <row r="18" spans="1:69">
      <c r="A18" s="25" t="s">
        <v>326</v>
      </c>
    </row>
    <row r="19" spans="1:69" outlineLevel="1">
      <c r="B19" s="25" t="s">
        <v>248</v>
      </c>
    </row>
    <row r="20" spans="1:69" outlineLevel="2">
      <c r="E20" s="2" t="str">
        <f t="shared" ref="E20:BQ20" si="3" xml:space="preserve">  E$10</f>
        <v>Taxable income / (Tax losses arising)</v>
      </c>
      <c r="F20" s="2">
        <f t="shared" si="3"/>
        <v>0</v>
      </c>
      <c r="G20" s="2" t="str">
        <f t="shared" si="3"/>
        <v>GBP</v>
      </c>
      <c r="H20" s="2">
        <f t="shared" ca="1" si="3"/>
        <v>340527397.30397832</v>
      </c>
      <c r="I20" s="2">
        <f t="shared" si="3"/>
        <v>0</v>
      </c>
      <c r="J20" s="2">
        <f t="shared" ca="1" si="3"/>
        <v>-67000</v>
      </c>
      <c r="K20" s="2">
        <f t="shared" ca="1" si="3"/>
        <v>-67000</v>
      </c>
      <c r="L20" s="2">
        <f t="shared" ca="1" si="3"/>
        <v>3000</v>
      </c>
      <c r="M20" s="2">
        <f t="shared" ca="1" si="3"/>
        <v>37392.143148654483</v>
      </c>
      <c r="N20" s="2">
        <f t="shared" ca="1" si="3"/>
        <v>-11607.856851345517</v>
      </c>
      <c r="O20" s="2">
        <f t="shared" ca="1" si="3"/>
        <v>23392.143148654483</v>
      </c>
      <c r="P20" s="2">
        <f t="shared" ca="1" si="3"/>
        <v>197769.50669923986</v>
      </c>
      <c r="Q20" s="2">
        <f t="shared" ca="1" si="3"/>
        <v>218769.50669923986</v>
      </c>
      <c r="R20" s="2">
        <f t="shared" ca="1" si="3"/>
        <v>288769.50669923984</v>
      </c>
      <c r="S20" s="2">
        <f t="shared" ca="1" si="3"/>
        <v>288131.73129655828</v>
      </c>
      <c r="T20" s="2">
        <f t="shared" ca="1" si="3"/>
        <v>638131.73129655828</v>
      </c>
      <c r="U20" s="2">
        <f t="shared" ca="1" si="3"/>
        <v>638131.73129655828</v>
      </c>
      <c r="V20" s="2">
        <f t="shared" ca="1" si="3"/>
        <v>975012.75018454797</v>
      </c>
      <c r="W20" s="2">
        <f t="shared" ca="1" si="3"/>
        <v>1252189.0113679084</v>
      </c>
      <c r="X20" s="2">
        <f t="shared" ca="1" si="3"/>
        <v>1297766.5058494285</v>
      </c>
      <c r="Y20" s="2">
        <f t="shared" ca="1" si="3"/>
        <v>1627193.3349507609</v>
      </c>
      <c r="Z20" s="2">
        <f t="shared" ca="1" si="3"/>
        <v>1616512.2409604841</v>
      </c>
      <c r="AA20" s="2">
        <f t="shared" ca="1" si="3"/>
        <v>1599843.7622378413</v>
      </c>
      <c r="AB20" s="2">
        <f t="shared" ca="1" si="3"/>
        <v>1581500.1056152987</v>
      </c>
      <c r="AC20" s="2">
        <f t="shared" ca="1" si="3"/>
        <v>1562790.3708460801</v>
      </c>
      <c r="AD20" s="2">
        <f t="shared" ca="1" si="3"/>
        <v>1542968.0973528419</v>
      </c>
      <c r="AE20" s="2">
        <f t="shared" ca="1" si="3"/>
        <v>1696264.245770883</v>
      </c>
      <c r="AF20" s="2">
        <f t="shared" ca="1" si="3"/>
        <v>1849014.4960635144</v>
      </c>
      <c r="AG20" s="2">
        <f t="shared" ca="1" si="3"/>
        <v>2000441.7073898257</v>
      </c>
      <c r="AH20" s="2">
        <f t="shared" ca="1" si="3"/>
        <v>2251972.8696589647</v>
      </c>
      <c r="AI20" s="2">
        <f t="shared" ca="1" si="3"/>
        <v>2365513.3089999319</v>
      </c>
      <c r="AJ20" s="2">
        <f t="shared" ca="1" si="3"/>
        <v>2652480.3809887255</v>
      </c>
      <c r="AK20" s="2">
        <f t="shared" ca="1" si="3"/>
        <v>2762045.636807661</v>
      </c>
      <c r="AL20" s="2">
        <f t="shared" ca="1" si="3"/>
        <v>2899979.7390120933</v>
      </c>
      <c r="AM20" s="2">
        <f t="shared" ca="1" si="3"/>
        <v>3111642.7815668075</v>
      </c>
      <c r="AN20" s="2">
        <f t="shared" ca="1" si="3"/>
        <v>3320570.7620946448</v>
      </c>
      <c r="AO20" s="2">
        <f t="shared" ca="1" si="3"/>
        <v>3382551.2925562072</v>
      </c>
      <c r="AP20" s="2">
        <f t="shared" ca="1" si="3"/>
        <v>3692906.7455697311</v>
      </c>
      <c r="AQ20" s="2">
        <f t="shared" ca="1" si="3"/>
        <v>3825131.8335098061</v>
      </c>
      <c r="AR20" s="2">
        <f t="shared" ca="1" si="3"/>
        <v>4130632.3340950687</v>
      </c>
      <c r="AS20" s="2">
        <f t="shared" ca="1" si="3"/>
        <v>4433486.7567476919</v>
      </c>
      <c r="AT20" s="2">
        <f t="shared" ca="1" si="3"/>
        <v>4886129.2635839609</v>
      </c>
      <c r="AU20" s="2">
        <f t="shared" ca="1" si="3"/>
        <v>5149872.4815151896</v>
      </c>
      <c r="AV20" s="2">
        <f t="shared" ca="1" si="3"/>
        <v>5573080.5627622576</v>
      </c>
      <c r="AW20" s="2">
        <f t="shared" ca="1" si="3"/>
        <v>6154021.1902558384</v>
      </c>
      <c r="AX20" s="2">
        <f t="shared" ca="1" si="3"/>
        <v>6543332.7661769409</v>
      </c>
      <c r="AY20" s="2">
        <f t="shared" ca="1" si="3"/>
        <v>7089169.8470206996</v>
      </c>
      <c r="AZ20" s="2">
        <f t="shared" ca="1" si="3"/>
        <v>7614605.686689809</v>
      </c>
      <c r="BA20" s="2">
        <f t="shared" ca="1" si="3"/>
        <v>8120132.8022262035</v>
      </c>
      <c r="BB20" s="2">
        <f t="shared" ca="1" si="3"/>
        <v>8603689.9167705346</v>
      </c>
      <c r="BC20" s="2">
        <f t="shared" ca="1" si="3"/>
        <v>9238120.5546223614</v>
      </c>
      <c r="BD20" s="2">
        <f t="shared" ca="1" si="3"/>
        <v>9848740.7716176622</v>
      </c>
      <c r="BE20" s="2">
        <f t="shared" ca="1" si="3"/>
        <v>10608234.107116587</v>
      </c>
      <c r="BF20" s="2">
        <f t="shared" ca="1" si="3"/>
        <v>11307706.552829666</v>
      </c>
      <c r="BG20" s="2">
        <f t="shared" ca="1" si="3"/>
        <v>11978692.988692125</v>
      </c>
      <c r="BH20" s="2">
        <f t="shared" ca="1" si="3"/>
        <v>12793609.151186263</v>
      </c>
      <c r="BI20" s="2">
        <f t="shared" ca="1" si="3"/>
        <v>13574717.989329349</v>
      </c>
      <c r="BJ20" s="2">
        <f t="shared" ca="1" si="3"/>
        <v>14433841.141171558</v>
      </c>
      <c r="BK20" s="2">
        <f t="shared" ca="1" si="3"/>
        <v>15256015.302859072</v>
      </c>
      <c r="BL20" s="2">
        <f t="shared" ca="1" si="3"/>
        <v>16213132.24076022</v>
      </c>
      <c r="BM20" s="2">
        <f t="shared" ca="1" si="3"/>
        <v>17066686.471833006</v>
      </c>
      <c r="BN20" s="2">
        <f t="shared" ca="1" si="3"/>
        <v>18051300.70092167</v>
      </c>
      <c r="BO20" s="2">
        <f t="shared" ca="1" si="3"/>
        <v>19163435.353809442</v>
      </c>
      <c r="BP20" s="2">
        <f t="shared" ca="1" si="3"/>
        <v>20227175.78780004</v>
      </c>
      <c r="BQ20" s="2">
        <f t="shared" ca="1" si="3"/>
        <v>21413662.458797891</v>
      </c>
    </row>
    <row r="21" spans="1:69" outlineLevel="2">
      <c r="E21" s="47" t="s">
        <v>248</v>
      </c>
      <c r="G21" s="47" t="s">
        <v>257</v>
      </c>
      <c r="H21" s="2">
        <f ca="1" xml:space="preserve"> SUM( J21:BQ21 )</f>
        <v>145607.85685134551</v>
      </c>
      <c r="J21" s="2">
        <f t="shared" ref="J21:BQ21" ca="1" si="4" xml:space="preserve">  0 - 1 * MIN( J20, 0 )</f>
        <v>67000</v>
      </c>
      <c r="K21" s="2">
        <f t="shared" ca="1" si="4"/>
        <v>67000</v>
      </c>
      <c r="L21" s="2">
        <f t="shared" ca="1" si="4"/>
        <v>0</v>
      </c>
      <c r="M21" s="2">
        <f t="shared" ca="1" si="4"/>
        <v>0</v>
      </c>
      <c r="N21" s="2">
        <f t="shared" ca="1" si="4"/>
        <v>11607.856851345517</v>
      </c>
      <c r="O21" s="2">
        <f t="shared" ca="1" si="4"/>
        <v>0</v>
      </c>
      <c r="P21" s="2">
        <f t="shared" ca="1" si="4"/>
        <v>0</v>
      </c>
      <c r="Q21" s="2">
        <f t="shared" ca="1" si="4"/>
        <v>0</v>
      </c>
      <c r="R21" s="2">
        <f t="shared" ca="1" si="4"/>
        <v>0</v>
      </c>
      <c r="S21" s="2">
        <f t="shared" ca="1" si="4"/>
        <v>0</v>
      </c>
      <c r="T21" s="2">
        <f t="shared" ca="1" si="4"/>
        <v>0</v>
      </c>
      <c r="U21" s="2">
        <f t="shared" ca="1" si="4"/>
        <v>0</v>
      </c>
      <c r="V21" s="2">
        <f t="shared" ca="1" si="4"/>
        <v>0</v>
      </c>
      <c r="W21" s="2">
        <f t="shared" ca="1" si="4"/>
        <v>0</v>
      </c>
      <c r="X21" s="2">
        <f t="shared" ca="1" si="4"/>
        <v>0</v>
      </c>
      <c r="Y21" s="2">
        <f t="shared" ca="1" si="4"/>
        <v>0</v>
      </c>
      <c r="Z21" s="2">
        <f t="shared" ca="1" si="4"/>
        <v>0</v>
      </c>
      <c r="AA21" s="2">
        <f t="shared" ca="1" si="4"/>
        <v>0</v>
      </c>
      <c r="AB21" s="2">
        <f t="shared" ca="1" si="4"/>
        <v>0</v>
      </c>
      <c r="AC21" s="2">
        <f t="shared" ca="1" si="4"/>
        <v>0</v>
      </c>
      <c r="AD21" s="2">
        <f t="shared" ca="1" si="4"/>
        <v>0</v>
      </c>
      <c r="AE21" s="2">
        <f t="shared" ca="1" si="4"/>
        <v>0</v>
      </c>
      <c r="AF21" s="2">
        <f t="shared" ca="1" si="4"/>
        <v>0</v>
      </c>
      <c r="AG21" s="2">
        <f t="shared" ca="1" si="4"/>
        <v>0</v>
      </c>
      <c r="AH21" s="2">
        <f t="shared" ca="1" si="4"/>
        <v>0</v>
      </c>
      <c r="AI21" s="2">
        <f t="shared" ca="1" si="4"/>
        <v>0</v>
      </c>
      <c r="AJ21" s="2">
        <f t="shared" ca="1" si="4"/>
        <v>0</v>
      </c>
      <c r="AK21" s="2">
        <f t="shared" ca="1" si="4"/>
        <v>0</v>
      </c>
      <c r="AL21" s="2">
        <f t="shared" ca="1" si="4"/>
        <v>0</v>
      </c>
      <c r="AM21" s="2">
        <f t="shared" ca="1" si="4"/>
        <v>0</v>
      </c>
      <c r="AN21" s="2">
        <f t="shared" ca="1" si="4"/>
        <v>0</v>
      </c>
      <c r="AO21" s="2">
        <f t="shared" ca="1" si="4"/>
        <v>0</v>
      </c>
      <c r="AP21" s="2">
        <f t="shared" ca="1" si="4"/>
        <v>0</v>
      </c>
      <c r="AQ21" s="2">
        <f t="shared" ca="1" si="4"/>
        <v>0</v>
      </c>
      <c r="AR21" s="2">
        <f t="shared" ca="1" si="4"/>
        <v>0</v>
      </c>
      <c r="AS21" s="2">
        <f t="shared" ca="1" si="4"/>
        <v>0</v>
      </c>
      <c r="AT21" s="2">
        <f t="shared" ca="1" si="4"/>
        <v>0</v>
      </c>
      <c r="AU21" s="2">
        <f t="shared" ca="1" si="4"/>
        <v>0</v>
      </c>
      <c r="AV21" s="2">
        <f t="shared" ca="1" si="4"/>
        <v>0</v>
      </c>
      <c r="AW21" s="2">
        <f t="shared" ca="1" si="4"/>
        <v>0</v>
      </c>
      <c r="AX21" s="2">
        <f t="shared" ca="1" si="4"/>
        <v>0</v>
      </c>
      <c r="AY21" s="2">
        <f t="shared" ca="1" si="4"/>
        <v>0</v>
      </c>
      <c r="AZ21" s="2">
        <f t="shared" ca="1" si="4"/>
        <v>0</v>
      </c>
      <c r="BA21" s="2">
        <f t="shared" ca="1" si="4"/>
        <v>0</v>
      </c>
      <c r="BB21" s="2">
        <f t="shared" ca="1" si="4"/>
        <v>0</v>
      </c>
      <c r="BC21" s="2">
        <f t="shared" ca="1" si="4"/>
        <v>0</v>
      </c>
      <c r="BD21" s="2">
        <f t="shared" ca="1" si="4"/>
        <v>0</v>
      </c>
      <c r="BE21" s="2">
        <f t="shared" ca="1" si="4"/>
        <v>0</v>
      </c>
      <c r="BF21" s="2">
        <f t="shared" ca="1" si="4"/>
        <v>0</v>
      </c>
      <c r="BG21" s="2">
        <f t="shared" ca="1" si="4"/>
        <v>0</v>
      </c>
      <c r="BH21" s="2">
        <f t="shared" ca="1" si="4"/>
        <v>0</v>
      </c>
      <c r="BI21" s="2">
        <f t="shared" ca="1" si="4"/>
        <v>0</v>
      </c>
      <c r="BJ21" s="2">
        <f t="shared" ca="1" si="4"/>
        <v>0</v>
      </c>
      <c r="BK21" s="2">
        <f t="shared" ca="1" si="4"/>
        <v>0</v>
      </c>
      <c r="BL21" s="2">
        <f t="shared" ca="1" si="4"/>
        <v>0</v>
      </c>
      <c r="BM21" s="2">
        <f t="shared" ca="1" si="4"/>
        <v>0</v>
      </c>
      <c r="BN21" s="2">
        <f t="shared" ca="1" si="4"/>
        <v>0</v>
      </c>
      <c r="BO21" s="2">
        <f t="shared" ca="1" si="4"/>
        <v>0</v>
      </c>
      <c r="BP21" s="2">
        <f t="shared" ca="1" si="4"/>
        <v>0</v>
      </c>
      <c r="BQ21" s="2">
        <f t="shared" ca="1" si="4"/>
        <v>0</v>
      </c>
    </row>
    <row r="22" spans="1:69" outlineLevel="1"/>
    <row r="23" spans="1:69" outlineLevel="1"/>
    <row r="24" spans="1:69" outlineLevel="1">
      <c r="B24" s="25" t="s">
        <v>327</v>
      </c>
    </row>
    <row r="25" spans="1:69" outlineLevel="2">
      <c r="E25" s="2" t="str">
        <f t="shared" ref="E25:BQ25" si="5" xml:space="preserve">  E$15</f>
        <v>Taxable income</v>
      </c>
      <c r="F25" s="2">
        <f t="shared" si="5"/>
        <v>0</v>
      </c>
      <c r="G25" s="2" t="str">
        <f t="shared" si="5"/>
        <v>GBP</v>
      </c>
      <c r="H25" s="2">
        <f t="shared" ca="1" si="5"/>
        <v>340673005.16082966</v>
      </c>
      <c r="I25" s="2">
        <f t="shared" si="5"/>
        <v>0</v>
      </c>
      <c r="J25" s="2">
        <f t="shared" ca="1" si="5"/>
        <v>0</v>
      </c>
      <c r="K25" s="2">
        <f t="shared" ca="1" si="5"/>
        <v>0</v>
      </c>
      <c r="L25" s="2">
        <f t="shared" ca="1" si="5"/>
        <v>3000</v>
      </c>
      <c r="M25" s="2">
        <f t="shared" ca="1" si="5"/>
        <v>37392.143148654483</v>
      </c>
      <c r="N25" s="2">
        <f t="shared" ca="1" si="5"/>
        <v>0</v>
      </c>
      <c r="O25" s="2">
        <f t="shared" ca="1" si="5"/>
        <v>23392.143148654483</v>
      </c>
      <c r="P25" s="2">
        <f t="shared" ca="1" si="5"/>
        <v>197769.50669923986</v>
      </c>
      <c r="Q25" s="2">
        <f t="shared" ca="1" si="5"/>
        <v>218769.50669923986</v>
      </c>
      <c r="R25" s="2">
        <f t="shared" ca="1" si="5"/>
        <v>288769.50669923984</v>
      </c>
      <c r="S25" s="2">
        <f t="shared" ca="1" si="5"/>
        <v>288131.73129655828</v>
      </c>
      <c r="T25" s="2">
        <f t="shared" ca="1" si="5"/>
        <v>638131.73129655828</v>
      </c>
      <c r="U25" s="2">
        <f t="shared" ca="1" si="5"/>
        <v>638131.73129655828</v>
      </c>
      <c r="V25" s="2">
        <f t="shared" ca="1" si="5"/>
        <v>975012.75018454797</v>
      </c>
      <c r="W25" s="2">
        <f t="shared" ca="1" si="5"/>
        <v>1252189.0113679084</v>
      </c>
      <c r="X25" s="2">
        <f t="shared" ca="1" si="5"/>
        <v>1297766.5058494285</v>
      </c>
      <c r="Y25" s="2">
        <f t="shared" ca="1" si="5"/>
        <v>1627193.3349507609</v>
      </c>
      <c r="Z25" s="2">
        <f t="shared" ca="1" si="5"/>
        <v>1616512.2409604841</v>
      </c>
      <c r="AA25" s="2">
        <f t="shared" ca="1" si="5"/>
        <v>1599843.7622378413</v>
      </c>
      <c r="AB25" s="2">
        <f t="shared" ca="1" si="5"/>
        <v>1581500.1056152987</v>
      </c>
      <c r="AC25" s="2">
        <f t="shared" ca="1" si="5"/>
        <v>1562790.3708460801</v>
      </c>
      <c r="AD25" s="2">
        <f t="shared" ca="1" si="5"/>
        <v>1542968.0973528419</v>
      </c>
      <c r="AE25" s="2">
        <f t="shared" ca="1" si="5"/>
        <v>1696264.245770883</v>
      </c>
      <c r="AF25" s="2">
        <f t="shared" ca="1" si="5"/>
        <v>1849014.4960635144</v>
      </c>
      <c r="AG25" s="2">
        <f t="shared" ca="1" si="5"/>
        <v>2000441.7073898257</v>
      </c>
      <c r="AH25" s="2">
        <f t="shared" ca="1" si="5"/>
        <v>2251972.8696589647</v>
      </c>
      <c r="AI25" s="2">
        <f t="shared" ca="1" si="5"/>
        <v>2365513.3089999319</v>
      </c>
      <c r="AJ25" s="2">
        <f t="shared" ca="1" si="5"/>
        <v>2652480.3809887255</v>
      </c>
      <c r="AK25" s="2">
        <f t="shared" ca="1" si="5"/>
        <v>2762045.636807661</v>
      </c>
      <c r="AL25" s="2">
        <f t="shared" ca="1" si="5"/>
        <v>2899979.7390120933</v>
      </c>
      <c r="AM25" s="2">
        <f t="shared" ca="1" si="5"/>
        <v>3111642.7815668075</v>
      </c>
      <c r="AN25" s="2">
        <f t="shared" ca="1" si="5"/>
        <v>3320570.7620946448</v>
      </c>
      <c r="AO25" s="2">
        <f t="shared" ca="1" si="5"/>
        <v>3382551.2925562072</v>
      </c>
      <c r="AP25" s="2">
        <f t="shared" ca="1" si="5"/>
        <v>3692906.7455697311</v>
      </c>
      <c r="AQ25" s="2">
        <f t="shared" ca="1" si="5"/>
        <v>3825131.8335098061</v>
      </c>
      <c r="AR25" s="2">
        <f t="shared" ca="1" si="5"/>
        <v>4130632.3340950687</v>
      </c>
      <c r="AS25" s="2">
        <f t="shared" ca="1" si="5"/>
        <v>4433486.7567476919</v>
      </c>
      <c r="AT25" s="2">
        <f t="shared" ca="1" si="5"/>
        <v>4886129.2635839609</v>
      </c>
      <c r="AU25" s="2">
        <f t="shared" ca="1" si="5"/>
        <v>5149872.4815151896</v>
      </c>
      <c r="AV25" s="2">
        <f t="shared" ca="1" si="5"/>
        <v>5573080.5627622576</v>
      </c>
      <c r="AW25" s="2">
        <f t="shared" ca="1" si="5"/>
        <v>6154021.1902558384</v>
      </c>
      <c r="AX25" s="2">
        <f t="shared" ca="1" si="5"/>
        <v>6543332.7661769409</v>
      </c>
      <c r="AY25" s="2">
        <f t="shared" ca="1" si="5"/>
        <v>7089169.8470206996</v>
      </c>
      <c r="AZ25" s="2">
        <f t="shared" ca="1" si="5"/>
        <v>7614605.686689809</v>
      </c>
      <c r="BA25" s="2">
        <f t="shared" ca="1" si="5"/>
        <v>8120132.8022262035</v>
      </c>
      <c r="BB25" s="2">
        <f t="shared" ca="1" si="5"/>
        <v>8603689.9167705346</v>
      </c>
      <c r="BC25" s="2">
        <f t="shared" ca="1" si="5"/>
        <v>9238120.5546223614</v>
      </c>
      <c r="BD25" s="2">
        <f t="shared" ca="1" si="5"/>
        <v>9848740.7716176622</v>
      </c>
      <c r="BE25" s="2">
        <f t="shared" ca="1" si="5"/>
        <v>10608234.107116587</v>
      </c>
      <c r="BF25" s="2">
        <f t="shared" ca="1" si="5"/>
        <v>11307706.552829666</v>
      </c>
      <c r="BG25" s="2">
        <f t="shared" ca="1" si="5"/>
        <v>11978692.988692125</v>
      </c>
      <c r="BH25" s="2">
        <f t="shared" ca="1" si="5"/>
        <v>12793609.151186263</v>
      </c>
      <c r="BI25" s="2">
        <f t="shared" ca="1" si="5"/>
        <v>13574717.989329349</v>
      </c>
      <c r="BJ25" s="2">
        <f t="shared" ca="1" si="5"/>
        <v>14433841.141171558</v>
      </c>
      <c r="BK25" s="2">
        <f t="shared" ca="1" si="5"/>
        <v>15256015.302859072</v>
      </c>
      <c r="BL25" s="2">
        <f t="shared" ca="1" si="5"/>
        <v>16213132.24076022</v>
      </c>
      <c r="BM25" s="2">
        <f t="shared" ca="1" si="5"/>
        <v>17066686.471833006</v>
      </c>
      <c r="BN25" s="2">
        <f t="shared" ca="1" si="5"/>
        <v>18051300.70092167</v>
      </c>
      <c r="BO25" s="2">
        <f t="shared" ca="1" si="5"/>
        <v>19163435.353809442</v>
      </c>
      <c r="BP25" s="2">
        <f t="shared" ca="1" si="5"/>
        <v>20227175.78780004</v>
      </c>
      <c r="BQ25" s="2">
        <f t="shared" ca="1" si="5"/>
        <v>21413662.458797891</v>
      </c>
    </row>
    <row r="26" spans="1:69" outlineLevel="2">
      <c r="E26" s="2" t="str">
        <f t="shared" ref="E26:BQ26" si="6" xml:space="preserve">  E$33</f>
        <v>Tax losses carried forward balance BEG</v>
      </c>
      <c r="F26" s="2">
        <f t="shared" si="6"/>
        <v>0</v>
      </c>
      <c r="G26" s="2" t="str">
        <f t="shared" si="6"/>
        <v>GBP</v>
      </c>
      <c r="H26" s="2">
        <f t="shared" si="6"/>
        <v>0</v>
      </c>
      <c r="I26" s="2">
        <f t="shared" si="6"/>
        <v>0</v>
      </c>
      <c r="J26" s="2">
        <f t="shared" si="6"/>
        <v>0</v>
      </c>
      <c r="K26" s="2">
        <f t="shared" si="6"/>
        <v>0</v>
      </c>
      <c r="L26" s="2">
        <f t="shared" ca="1" si="6"/>
        <v>67000</v>
      </c>
      <c r="M26" s="2">
        <f t="shared" ca="1" si="6"/>
        <v>64000</v>
      </c>
      <c r="N26" s="2">
        <f t="shared" ca="1" si="6"/>
        <v>26607.856851345517</v>
      </c>
      <c r="O26" s="2">
        <f t="shared" ca="1" si="6"/>
        <v>38215.713702691035</v>
      </c>
      <c r="P26" s="2">
        <f t="shared" ca="1" si="6"/>
        <v>14823.570554036552</v>
      </c>
      <c r="Q26" s="2">
        <f t="shared" ca="1" si="6"/>
        <v>0</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2">
      <c r="E27" s="47" t="s">
        <v>327</v>
      </c>
      <c r="G27" s="47" t="s">
        <v>257</v>
      </c>
      <c r="H27" s="2">
        <f ca="1" xml:space="preserve"> SUM( J27:BQ27 )</f>
        <v>78607.85685134551</v>
      </c>
      <c r="J27" s="2">
        <f t="shared" ref="J27:BQ27" ca="1" si="7" xml:space="preserve">  MIN( J25, J26 )</f>
        <v>0</v>
      </c>
      <c r="K27" s="2">
        <f t="shared" ca="1" si="7"/>
        <v>0</v>
      </c>
      <c r="L27" s="2">
        <f t="shared" ca="1" si="7"/>
        <v>3000</v>
      </c>
      <c r="M27" s="2">
        <f t="shared" ca="1" si="7"/>
        <v>37392.143148654483</v>
      </c>
      <c r="N27" s="2">
        <f t="shared" ca="1" si="7"/>
        <v>0</v>
      </c>
      <c r="O27" s="2">
        <f t="shared" ca="1" si="7"/>
        <v>23392.143148654483</v>
      </c>
      <c r="P27" s="2">
        <f t="shared" ca="1" si="7"/>
        <v>14823.570554036552</v>
      </c>
      <c r="Q27" s="2">
        <f t="shared" ca="1" si="7"/>
        <v>0</v>
      </c>
      <c r="R27" s="2">
        <f t="shared" ca="1" si="7"/>
        <v>0</v>
      </c>
      <c r="S27" s="2">
        <f t="shared" ca="1" si="7"/>
        <v>0</v>
      </c>
      <c r="T27" s="2">
        <f t="shared" ca="1" si="7"/>
        <v>0</v>
      </c>
      <c r="U27" s="2">
        <f t="shared" ca="1" si="7"/>
        <v>0</v>
      </c>
      <c r="V27" s="2">
        <f t="shared" ca="1" si="7"/>
        <v>0</v>
      </c>
      <c r="W27" s="2">
        <f t="shared" ca="1" si="7"/>
        <v>0</v>
      </c>
      <c r="X27" s="2">
        <f t="shared" ca="1" si="7"/>
        <v>0</v>
      </c>
      <c r="Y27" s="2">
        <f t="shared" ca="1" si="7"/>
        <v>0</v>
      </c>
      <c r="Z27" s="2">
        <f t="shared" ca="1" si="7"/>
        <v>0</v>
      </c>
      <c r="AA27" s="2">
        <f t="shared" ca="1" si="7"/>
        <v>0</v>
      </c>
      <c r="AB27" s="2">
        <f t="shared" ca="1" si="7"/>
        <v>0</v>
      </c>
      <c r="AC27" s="2">
        <f t="shared" ca="1" si="7"/>
        <v>0</v>
      </c>
      <c r="AD27" s="2">
        <f t="shared" ca="1" si="7"/>
        <v>0</v>
      </c>
      <c r="AE27" s="2">
        <f t="shared" ca="1" si="7"/>
        <v>0</v>
      </c>
      <c r="AF27" s="2">
        <f t="shared" ca="1" si="7"/>
        <v>0</v>
      </c>
      <c r="AG27" s="2">
        <f t="shared" ca="1" si="7"/>
        <v>0</v>
      </c>
      <c r="AH27" s="2">
        <f t="shared" ca="1" si="7"/>
        <v>0</v>
      </c>
      <c r="AI27" s="2">
        <f t="shared" ca="1" si="7"/>
        <v>0</v>
      </c>
      <c r="AJ27" s="2">
        <f t="shared" ca="1" si="7"/>
        <v>0</v>
      </c>
      <c r="AK27" s="2">
        <f t="shared" ca="1" si="7"/>
        <v>0</v>
      </c>
      <c r="AL27" s="2">
        <f t="shared" ca="1" si="7"/>
        <v>0</v>
      </c>
      <c r="AM27" s="2">
        <f t="shared" ca="1" si="7"/>
        <v>0</v>
      </c>
      <c r="AN27" s="2">
        <f t="shared" ca="1" si="7"/>
        <v>0</v>
      </c>
      <c r="AO27" s="2">
        <f t="shared" ca="1" si="7"/>
        <v>0</v>
      </c>
      <c r="AP27" s="2">
        <f t="shared" ca="1" si="7"/>
        <v>0</v>
      </c>
      <c r="AQ27" s="2">
        <f t="shared" ca="1" si="7"/>
        <v>0</v>
      </c>
      <c r="AR27" s="2">
        <f t="shared" ca="1" si="7"/>
        <v>0</v>
      </c>
      <c r="AS27" s="2">
        <f t="shared" ca="1" si="7"/>
        <v>0</v>
      </c>
      <c r="AT27" s="2">
        <f t="shared" ca="1" si="7"/>
        <v>0</v>
      </c>
      <c r="AU27" s="2">
        <f t="shared" ca="1" si="7"/>
        <v>0</v>
      </c>
      <c r="AV27" s="2">
        <f t="shared" ca="1" si="7"/>
        <v>0</v>
      </c>
      <c r="AW27" s="2">
        <f t="shared" ca="1" si="7"/>
        <v>0</v>
      </c>
      <c r="AX27" s="2">
        <f t="shared" ca="1" si="7"/>
        <v>0</v>
      </c>
      <c r="AY27" s="2">
        <f t="shared" ca="1" si="7"/>
        <v>0</v>
      </c>
      <c r="AZ27" s="2">
        <f t="shared" ca="1" si="7"/>
        <v>0</v>
      </c>
      <c r="BA27" s="2">
        <f t="shared" ca="1" si="7"/>
        <v>0</v>
      </c>
      <c r="BB27" s="2">
        <f t="shared" ca="1" si="7"/>
        <v>0</v>
      </c>
      <c r="BC27" s="2">
        <f t="shared" ca="1" si="7"/>
        <v>0</v>
      </c>
      <c r="BD27" s="2">
        <f t="shared" ca="1" si="7"/>
        <v>0</v>
      </c>
      <c r="BE27" s="2">
        <f t="shared" ca="1" si="7"/>
        <v>0</v>
      </c>
      <c r="BF27" s="2">
        <f t="shared" ca="1" si="7"/>
        <v>0</v>
      </c>
      <c r="BG27" s="2">
        <f t="shared" ca="1" si="7"/>
        <v>0</v>
      </c>
      <c r="BH27" s="2">
        <f t="shared" ca="1" si="7"/>
        <v>0</v>
      </c>
      <c r="BI27" s="2">
        <f t="shared" ca="1" si="7"/>
        <v>0</v>
      </c>
      <c r="BJ27" s="2">
        <f t="shared" ca="1" si="7"/>
        <v>0</v>
      </c>
      <c r="BK27" s="2">
        <f t="shared" ca="1" si="7"/>
        <v>0</v>
      </c>
      <c r="BL27" s="2">
        <f t="shared" ca="1" si="7"/>
        <v>0</v>
      </c>
      <c r="BM27" s="2">
        <f t="shared" ca="1" si="7"/>
        <v>0</v>
      </c>
      <c r="BN27" s="2">
        <f t="shared" ca="1" si="7"/>
        <v>0</v>
      </c>
      <c r="BO27" s="2">
        <f t="shared" ca="1" si="7"/>
        <v>0</v>
      </c>
      <c r="BP27" s="2">
        <f t="shared" ca="1" si="7"/>
        <v>0</v>
      </c>
      <c r="BQ27" s="2">
        <f t="shared" ca="1" si="7"/>
        <v>0</v>
      </c>
    </row>
    <row r="28" spans="1:69" outlineLevel="1"/>
    <row r="29" spans="1:69" outlineLevel="1"/>
    <row r="30" spans="1:69" outlineLevel="1">
      <c r="B30" s="25" t="s">
        <v>84</v>
      </c>
    </row>
    <row r="31" spans="1:69" s="80" customFormat="1" outlineLevel="1">
      <c r="A31" s="60"/>
      <c r="B31" s="60"/>
      <c r="C31" s="82"/>
      <c r="D31" s="85"/>
      <c r="E31" s="40" t="str">
        <f xml:space="preserve">  InpC!E$91</f>
        <v>Tax losses carried forward - initial balance</v>
      </c>
      <c r="F31" s="40">
        <f xml:space="preserve">  InpC!F$91</f>
        <v>0</v>
      </c>
      <c r="G31" s="40" t="str">
        <f xml:space="preserve">  InpC!G$91</f>
        <v>GBP</v>
      </c>
      <c r="M31" s="87"/>
    </row>
    <row r="32" spans="1:69" outlineLevel="1">
      <c r="A32" s="18"/>
      <c r="B32" s="18"/>
      <c r="C32" s="28"/>
      <c r="D32" s="27"/>
      <c r="E32" s="9" t="str">
        <f xml:space="preserve">  Time!E$28</f>
        <v>Period number</v>
      </c>
      <c r="F32" s="9">
        <f xml:space="preserve">  Time!F$28</f>
        <v>0</v>
      </c>
      <c r="G32" s="9" t="str">
        <f xml:space="preserve">  Time!G$28</f>
        <v>Counter</v>
      </c>
      <c r="H32" s="9">
        <f xml:space="preserve">  Time!H$28</f>
        <v>0</v>
      </c>
      <c r="I32" s="9">
        <f xml:space="preserve">  Time!I$28</f>
        <v>0</v>
      </c>
      <c r="J32" s="9">
        <f xml:space="preserve">  Time!J$28</f>
        <v>1</v>
      </c>
      <c r="K32" s="9">
        <f xml:space="preserve">  Time!K$28</f>
        <v>2</v>
      </c>
      <c r="L32" s="9">
        <f xml:space="preserve">  Time!L$28</f>
        <v>3</v>
      </c>
      <c r="M32" s="9">
        <f xml:space="preserve">  Time!M$28</f>
        <v>4</v>
      </c>
      <c r="N32" s="9">
        <f xml:space="preserve">  Time!N$28</f>
        <v>5</v>
      </c>
      <c r="O32" s="9">
        <f xml:space="preserve">  Time!O$28</f>
        <v>6</v>
      </c>
      <c r="P32" s="9">
        <f xml:space="preserve">  Time!P$28</f>
        <v>7</v>
      </c>
      <c r="Q32" s="9">
        <f xml:space="preserve">  Time!Q$28</f>
        <v>8</v>
      </c>
      <c r="R32" s="9">
        <f xml:space="preserve">  Time!R$28</f>
        <v>9</v>
      </c>
      <c r="S32" s="9">
        <f xml:space="preserve">  Time!S$28</f>
        <v>10</v>
      </c>
      <c r="T32" s="9">
        <f xml:space="preserve">  Time!T$28</f>
        <v>11</v>
      </c>
      <c r="U32" s="9">
        <f xml:space="preserve">  Time!U$28</f>
        <v>12</v>
      </c>
      <c r="V32" s="9">
        <f xml:space="preserve">  Time!V$28</f>
        <v>13</v>
      </c>
      <c r="W32" s="9">
        <f xml:space="preserve">  Time!W$28</f>
        <v>14</v>
      </c>
      <c r="X32" s="9">
        <f xml:space="preserve">  Time!X$28</f>
        <v>15</v>
      </c>
      <c r="Y32" s="9">
        <f xml:space="preserve">  Time!Y$28</f>
        <v>16</v>
      </c>
      <c r="Z32" s="9">
        <f xml:space="preserve">  Time!Z$28</f>
        <v>17</v>
      </c>
      <c r="AA32" s="9">
        <f xml:space="preserve">  Time!AA$28</f>
        <v>18</v>
      </c>
      <c r="AB32" s="9">
        <f xml:space="preserve">  Time!AB$28</f>
        <v>19</v>
      </c>
      <c r="AC32" s="9">
        <f xml:space="preserve">  Time!AC$28</f>
        <v>20</v>
      </c>
      <c r="AD32" s="9">
        <f xml:space="preserve">  Time!AD$28</f>
        <v>21</v>
      </c>
      <c r="AE32" s="9">
        <f xml:space="preserve">  Time!AE$28</f>
        <v>22</v>
      </c>
      <c r="AF32" s="9">
        <f xml:space="preserve">  Time!AF$28</f>
        <v>23</v>
      </c>
      <c r="AG32" s="9">
        <f xml:space="preserve">  Time!AG$28</f>
        <v>24</v>
      </c>
      <c r="AH32" s="9">
        <f xml:space="preserve">  Time!AH$28</f>
        <v>25</v>
      </c>
      <c r="AI32" s="9">
        <f xml:space="preserve">  Time!AI$28</f>
        <v>26</v>
      </c>
      <c r="AJ32" s="9">
        <f xml:space="preserve">  Time!AJ$28</f>
        <v>27</v>
      </c>
      <c r="AK32" s="9">
        <f xml:space="preserve">  Time!AK$28</f>
        <v>28</v>
      </c>
      <c r="AL32" s="9">
        <f xml:space="preserve">  Time!AL$28</f>
        <v>29</v>
      </c>
      <c r="AM32" s="9">
        <f xml:space="preserve">  Time!AM$28</f>
        <v>30</v>
      </c>
      <c r="AN32" s="9">
        <f xml:space="preserve">  Time!AN$28</f>
        <v>31</v>
      </c>
      <c r="AO32" s="9">
        <f xml:space="preserve">  Time!AO$28</f>
        <v>32</v>
      </c>
      <c r="AP32" s="9">
        <f xml:space="preserve">  Time!AP$28</f>
        <v>33</v>
      </c>
      <c r="AQ32" s="9">
        <f xml:space="preserve">  Time!AQ$28</f>
        <v>34</v>
      </c>
      <c r="AR32" s="9">
        <f xml:space="preserve">  Time!AR$28</f>
        <v>35</v>
      </c>
      <c r="AS32" s="9">
        <f xml:space="preserve">  Time!AS$28</f>
        <v>36</v>
      </c>
      <c r="AT32" s="9">
        <f xml:space="preserve">  Time!AT$28</f>
        <v>37</v>
      </c>
      <c r="AU32" s="9">
        <f xml:space="preserve">  Time!AU$28</f>
        <v>38</v>
      </c>
      <c r="AV32" s="9">
        <f xml:space="preserve">  Time!AV$28</f>
        <v>39</v>
      </c>
      <c r="AW32" s="9">
        <f xml:space="preserve">  Time!AW$28</f>
        <v>40</v>
      </c>
      <c r="AX32" s="9">
        <f xml:space="preserve">  Time!AX$28</f>
        <v>41</v>
      </c>
      <c r="AY32" s="9">
        <f xml:space="preserve">  Time!AY$28</f>
        <v>42</v>
      </c>
      <c r="AZ32" s="9">
        <f xml:space="preserve">  Time!AZ$28</f>
        <v>43</v>
      </c>
      <c r="BA32" s="9">
        <f xml:space="preserve">  Time!BA$28</f>
        <v>44</v>
      </c>
      <c r="BB32" s="9">
        <f xml:space="preserve">  Time!BB$28</f>
        <v>45</v>
      </c>
      <c r="BC32" s="9">
        <f xml:space="preserve">  Time!BC$28</f>
        <v>46</v>
      </c>
      <c r="BD32" s="9">
        <f xml:space="preserve">  Time!BD$28</f>
        <v>47</v>
      </c>
      <c r="BE32" s="9">
        <f xml:space="preserve">  Time!BE$28</f>
        <v>48</v>
      </c>
      <c r="BF32" s="9">
        <f xml:space="preserve">  Time!BF$28</f>
        <v>49</v>
      </c>
      <c r="BG32" s="9">
        <f xml:space="preserve">  Time!BG$28</f>
        <v>50</v>
      </c>
      <c r="BH32" s="9">
        <f xml:space="preserve">  Time!BH$28</f>
        <v>51</v>
      </c>
      <c r="BI32" s="9">
        <f xml:space="preserve">  Time!BI$28</f>
        <v>52</v>
      </c>
      <c r="BJ32" s="9">
        <f xml:space="preserve">  Time!BJ$28</f>
        <v>53</v>
      </c>
      <c r="BK32" s="9">
        <f xml:space="preserve">  Time!BK$28</f>
        <v>54</v>
      </c>
      <c r="BL32" s="9">
        <f xml:space="preserve">  Time!BL$28</f>
        <v>55</v>
      </c>
      <c r="BM32" s="9">
        <f xml:space="preserve">  Time!BM$28</f>
        <v>56</v>
      </c>
      <c r="BN32" s="9">
        <f xml:space="preserve">  Time!BN$28</f>
        <v>57</v>
      </c>
      <c r="BO32" s="9">
        <f xml:space="preserve">  Time!BO$28</f>
        <v>58</v>
      </c>
      <c r="BP32" s="9">
        <f xml:space="preserve">  Time!BP$28</f>
        <v>59</v>
      </c>
      <c r="BQ32" s="9">
        <f xml:space="preserve">  Time!BQ$28</f>
        <v>60</v>
      </c>
    </row>
    <row r="33" spans="1:69" outlineLevel="1">
      <c r="E33" s="47" t="s">
        <v>352</v>
      </c>
      <c r="G33" s="47" t="s">
        <v>257</v>
      </c>
      <c r="J33" s="2">
        <f t="shared" ref="J33:BQ33" si="8" xml:space="preserve">  I36</f>
        <v>0</v>
      </c>
      <c r="K33" s="2">
        <f t="shared" si="8"/>
        <v>0</v>
      </c>
      <c r="L33" s="2">
        <f t="shared" ca="1" si="8"/>
        <v>67000</v>
      </c>
      <c r="M33" s="2">
        <f t="shared" ca="1" si="8"/>
        <v>64000</v>
      </c>
      <c r="N33" s="2">
        <f t="shared" ca="1" si="8"/>
        <v>26607.856851345517</v>
      </c>
      <c r="O33" s="2">
        <f t="shared" ca="1" si="8"/>
        <v>38215.713702691035</v>
      </c>
      <c r="P33" s="2">
        <f t="shared" ca="1" si="8"/>
        <v>14823.570554036552</v>
      </c>
      <c r="Q33" s="2">
        <f t="shared" ca="1" si="8"/>
        <v>0</v>
      </c>
      <c r="R33" s="2">
        <f t="shared" ca="1" si="8"/>
        <v>0</v>
      </c>
      <c r="S33" s="2">
        <f t="shared" ca="1" si="8"/>
        <v>0</v>
      </c>
      <c r="T33" s="2">
        <f t="shared" ca="1" si="8"/>
        <v>0</v>
      </c>
      <c r="U33" s="2">
        <f t="shared" ca="1" si="8"/>
        <v>0</v>
      </c>
      <c r="V33" s="2">
        <f t="shared" ca="1" si="8"/>
        <v>0</v>
      </c>
      <c r="W33" s="2">
        <f t="shared" ca="1" si="8"/>
        <v>0</v>
      </c>
      <c r="X33" s="2">
        <f t="shared" ca="1" si="8"/>
        <v>0</v>
      </c>
      <c r="Y33" s="2">
        <f t="shared" ca="1" si="8"/>
        <v>0</v>
      </c>
      <c r="Z33" s="2">
        <f t="shared" ca="1" si="8"/>
        <v>0</v>
      </c>
      <c r="AA33" s="2">
        <f t="shared" ca="1" si="8"/>
        <v>0</v>
      </c>
      <c r="AB33" s="2">
        <f t="shared" ca="1" si="8"/>
        <v>0</v>
      </c>
      <c r="AC33" s="2">
        <f t="shared" ca="1" si="8"/>
        <v>0</v>
      </c>
      <c r="AD33" s="2">
        <f t="shared" ca="1" si="8"/>
        <v>0</v>
      </c>
      <c r="AE33" s="2">
        <f t="shared" ca="1" si="8"/>
        <v>0</v>
      </c>
      <c r="AF33" s="2">
        <f t="shared" ca="1" si="8"/>
        <v>0</v>
      </c>
      <c r="AG33" s="2">
        <f t="shared" ca="1" si="8"/>
        <v>0</v>
      </c>
      <c r="AH33" s="2">
        <f t="shared" ca="1" si="8"/>
        <v>0</v>
      </c>
      <c r="AI33" s="2">
        <f t="shared" ca="1" si="8"/>
        <v>0</v>
      </c>
      <c r="AJ33" s="2">
        <f t="shared" ca="1" si="8"/>
        <v>0</v>
      </c>
      <c r="AK33" s="2">
        <f t="shared" ca="1" si="8"/>
        <v>0</v>
      </c>
      <c r="AL33" s="2">
        <f t="shared" ca="1" si="8"/>
        <v>0</v>
      </c>
      <c r="AM33" s="2">
        <f t="shared" ca="1" si="8"/>
        <v>0</v>
      </c>
      <c r="AN33" s="2">
        <f t="shared" ca="1" si="8"/>
        <v>0</v>
      </c>
      <c r="AO33" s="2">
        <f t="shared" ca="1" si="8"/>
        <v>0</v>
      </c>
      <c r="AP33" s="2">
        <f t="shared" ca="1" si="8"/>
        <v>0</v>
      </c>
      <c r="AQ33" s="2">
        <f t="shared" ca="1" si="8"/>
        <v>0</v>
      </c>
      <c r="AR33" s="2">
        <f t="shared" ca="1" si="8"/>
        <v>0</v>
      </c>
      <c r="AS33" s="2">
        <f t="shared" ca="1" si="8"/>
        <v>0</v>
      </c>
      <c r="AT33" s="2">
        <f t="shared" ca="1" si="8"/>
        <v>0</v>
      </c>
      <c r="AU33" s="2">
        <f t="shared" ca="1" si="8"/>
        <v>0</v>
      </c>
      <c r="AV33" s="2">
        <f t="shared" ca="1" si="8"/>
        <v>0</v>
      </c>
      <c r="AW33" s="2">
        <f t="shared" ca="1" si="8"/>
        <v>0</v>
      </c>
      <c r="AX33" s="2">
        <f t="shared" ca="1" si="8"/>
        <v>0</v>
      </c>
      <c r="AY33" s="2">
        <f t="shared" ca="1" si="8"/>
        <v>0</v>
      </c>
      <c r="AZ33" s="2">
        <f t="shared" ca="1" si="8"/>
        <v>0</v>
      </c>
      <c r="BA33" s="2">
        <f t="shared" ca="1" si="8"/>
        <v>0</v>
      </c>
      <c r="BB33" s="2">
        <f t="shared" ca="1" si="8"/>
        <v>0</v>
      </c>
      <c r="BC33" s="2">
        <f t="shared" ca="1" si="8"/>
        <v>0</v>
      </c>
      <c r="BD33" s="2">
        <f t="shared" ca="1" si="8"/>
        <v>0</v>
      </c>
      <c r="BE33" s="2">
        <f t="shared" ca="1" si="8"/>
        <v>0</v>
      </c>
      <c r="BF33" s="2">
        <f t="shared" ca="1" si="8"/>
        <v>0</v>
      </c>
      <c r="BG33" s="2">
        <f t="shared" ca="1" si="8"/>
        <v>0</v>
      </c>
      <c r="BH33" s="2">
        <f t="shared" ca="1" si="8"/>
        <v>0</v>
      </c>
      <c r="BI33" s="2">
        <f t="shared" ca="1" si="8"/>
        <v>0</v>
      </c>
      <c r="BJ33" s="2">
        <f t="shared" ca="1" si="8"/>
        <v>0</v>
      </c>
      <c r="BK33" s="2">
        <f t="shared" ca="1" si="8"/>
        <v>0</v>
      </c>
      <c r="BL33" s="2">
        <f t="shared" ca="1" si="8"/>
        <v>0</v>
      </c>
      <c r="BM33" s="2">
        <f t="shared" ca="1" si="8"/>
        <v>0</v>
      </c>
      <c r="BN33" s="2">
        <f t="shared" ca="1" si="8"/>
        <v>0</v>
      </c>
      <c r="BO33" s="2">
        <f t="shared" ca="1" si="8"/>
        <v>0</v>
      </c>
      <c r="BP33" s="2">
        <f t="shared" ca="1" si="8"/>
        <v>0</v>
      </c>
      <c r="BQ33" s="2">
        <f t="shared" ca="1" si="8"/>
        <v>0</v>
      </c>
    </row>
    <row r="34" spans="1:69" outlineLevel="1">
      <c r="D34" s="94" t="s">
        <v>220</v>
      </c>
      <c r="E34" s="2" t="str">
        <f t="shared" ref="E34:BQ34" si="9" xml:space="preserve">  E$21</f>
        <v>Tax losses arising</v>
      </c>
      <c r="F34" s="2">
        <f t="shared" si="9"/>
        <v>0</v>
      </c>
      <c r="G34" s="2" t="str">
        <f t="shared" si="9"/>
        <v>GBP</v>
      </c>
      <c r="H34" s="2">
        <f t="shared" ca="1" si="9"/>
        <v>145607.85685134551</v>
      </c>
      <c r="I34" s="2">
        <f t="shared" si="9"/>
        <v>0</v>
      </c>
      <c r="J34" s="2">
        <f t="shared" ca="1" si="9"/>
        <v>67000</v>
      </c>
      <c r="K34" s="2">
        <f t="shared" ca="1" si="9"/>
        <v>67000</v>
      </c>
      <c r="L34" s="2">
        <f t="shared" ca="1" si="9"/>
        <v>0</v>
      </c>
      <c r="M34" s="2">
        <f t="shared" ca="1" si="9"/>
        <v>0</v>
      </c>
      <c r="N34" s="2">
        <f t="shared" ca="1" si="9"/>
        <v>11607.856851345517</v>
      </c>
      <c r="O34" s="2">
        <f t="shared" ca="1" si="9"/>
        <v>0</v>
      </c>
      <c r="P34" s="2">
        <f t="shared" ca="1" si="9"/>
        <v>0</v>
      </c>
      <c r="Q34" s="2">
        <f t="shared" ca="1" si="9"/>
        <v>0</v>
      </c>
      <c r="R34" s="2">
        <f t="shared" ca="1" si="9"/>
        <v>0</v>
      </c>
      <c r="S34" s="2">
        <f t="shared" ca="1" si="9"/>
        <v>0</v>
      </c>
      <c r="T34" s="2">
        <f t="shared" ca="1" si="9"/>
        <v>0</v>
      </c>
      <c r="U34" s="2">
        <f t="shared" ca="1" si="9"/>
        <v>0</v>
      </c>
      <c r="V34" s="2">
        <f t="shared" ca="1" si="9"/>
        <v>0</v>
      </c>
      <c r="W34" s="2">
        <f t="shared" ca="1" si="9"/>
        <v>0</v>
      </c>
      <c r="X34" s="2">
        <f t="shared" ca="1" si="9"/>
        <v>0</v>
      </c>
      <c r="Y34" s="2">
        <f t="shared" ca="1" si="9"/>
        <v>0</v>
      </c>
      <c r="Z34" s="2">
        <f t="shared" ca="1" si="9"/>
        <v>0</v>
      </c>
      <c r="AA34" s="2">
        <f t="shared" ca="1" si="9"/>
        <v>0</v>
      </c>
      <c r="AB34" s="2">
        <f t="shared" ca="1" si="9"/>
        <v>0</v>
      </c>
      <c r="AC34" s="2">
        <f t="shared" ca="1" si="9"/>
        <v>0</v>
      </c>
      <c r="AD34" s="2">
        <f t="shared" ca="1" si="9"/>
        <v>0</v>
      </c>
      <c r="AE34" s="2">
        <f t="shared" ca="1" si="9"/>
        <v>0</v>
      </c>
      <c r="AF34" s="2">
        <f t="shared" ca="1" si="9"/>
        <v>0</v>
      </c>
      <c r="AG34" s="2">
        <f t="shared" ca="1" si="9"/>
        <v>0</v>
      </c>
      <c r="AH34" s="2">
        <f t="shared" ca="1" si="9"/>
        <v>0</v>
      </c>
      <c r="AI34" s="2">
        <f t="shared" ca="1" si="9"/>
        <v>0</v>
      </c>
      <c r="AJ34" s="2">
        <f t="shared" ca="1" si="9"/>
        <v>0</v>
      </c>
      <c r="AK34" s="2">
        <f t="shared" ca="1" si="9"/>
        <v>0</v>
      </c>
      <c r="AL34" s="2">
        <f t="shared" ca="1" si="9"/>
        <v>0</v>
      </c>
      <c r="AM34" s="2">
        <f t="shared" ca="1" si="9"/>
        <v>0</v>
      </c>
      <c r="AN34" s="2">
        <f t="shared" ca="1" si="9"/>
        <v>0</v>
      </c>
      <c r="AO34" s="2">
        <f t="shared" ca="1" si="9"/>
        <v>0</v>
      </c>
      <c r="AP34" s="2">
        <f t="shared" ca="1" si="9"/>
        <v>0</v>
      </c>
      <c r="AQ34" s="2">
        <f t="shared" ca="1" si="9"/>
        <v>0</v>
      </c>
      <c r="AR34" s="2">
        <f t="shared" ca="1" si="9"/>
        <v>0</v>
      </c>
      <c r="AS34" s="2">
        <f t="shared" ca="1" si="9"/>
        <v>0</v>
      </c>
      <c r="AT34" s="2">
        <f t="shared" ca="1" si="9"/>
        <v>0</v>
      </c>
      <c r="AU34" s="2">
        <f t="shared" ca="1" si="9"/>
        <v>0</v>
      </c>
      <c r="AV34" s="2">
        <f t="shared" ca="1" si="9"/>
        <v>0</v>
      </c>
      <c r="AW34" s="2">
        <f t="shared" ca="1" si="9"/>
        <v>0</v>
      </c>
      <c r="AX34" s="2">
        <f t="shared" ca="1" si="9"/>
        <v>0</v>
      </c>
      <c r="AY34" s="2">
        <f t="shared" ca="1" si="9"/>
        <v>0</v>
      </c>
      <c r="AZ34" s="2">
        <f t="shared" ca="1" si="9"/>
        <v>0</v>
      </c>
      <c r="BA34" s="2">
        <f t="shared" ca="1" si="9"/>
        <v>0</v>
      </c>
      <c r="BB34" s="2">
        <f t="shared" ca="1" si="9"/>
        <v>0</v>
      </c>
      <c r="BC34" s="2">
        <f t="shared" ca="1" si="9"/>
        <v>0</v>
      </c>
      <c r="BD34" s="2">
        <f t="shared" ca="1" si="9"/>
        <v>0</v>
      </c>
      <c r="BE34" s="2">
        <f t="shared" ca="1" si="9"/>
        <v>0</v>
      </c>
      <c r="BF34" s="2">
        <f t="shared" ca="1" si="9"/>
        <v>0</v>
      </c>
      <c r="BG34" s="2">
        <f t="shared" ca="1" si="9"/>
        <v>0</v>
      </c>
      <c r="BH34" s="2">
        <f t="shared" ca="1" si="9"/>
        <v>0</v>
      </c>
      <c r="BI34" s="2">
        <f t="shared" ca="1" si="9"/>
        <v>0</v>
      </c>
      <c r="BJ34" s="2">
        <f t="shared" ca="1" si="9"/>
        <v>0</v>
      </c>
      <c r="BK34" s="2">
        <f t="shared" ca="1" si="9"/>
        <v>0</v>
      </c>
      <c r="BL34" s="2">
        <f t="shared" ca="1" si="9"/>
        <v>0</v>
      </c>
      <c r="BM34" s="2">
        <f t="shared" ca="1" si="9"/>
        <v>0</v>
      </c>
      <c r="BN34" s="2">
        <f t="shared" ca="1" si="9"/>
        <v>0</v>
      </c>
      <c r="BO34" s="2">
        <f t="shared" ca="1" si="9"/>
        <v>0</v>
      </c>
      <c r="BP34" s="2">
        <f t="shared" ca="1" si="9"/>
        <v>0</v>
      </c>
      <c r="BQ34" s="2">
        <f t="shared" ca="1" si="9"/>
        <v>0</v>
      </c>
    </row>
    <row r="35" spans="1:69" outlineLevel="1">
      <c r="D35" s="94" t="s">
        <v>299</v>
      </c>
      <c r="E35" s="2" t="str">
        <f t="shared" ref="E35:BQ35" si="10" xml:space="preserve">  E$27</f>
        <v>Tax losses utilised</v>
      </c>
      <c r="F35" s="2">
        <f t="shared" si="10"/>
        <v>0</v>
      </c>
      <c r="G35" s="2" t="str">
        <f t="shared" si="10"/>
        <v>GBP</v>
      </c>
      <c r="H35" s="2">
        <f t="shared" ca="1" si="10"/>
        <v>78607.85685134551</v>
      </c>
      <c r="I35" s="2">
        <f t="shared" si="10"/>
        <v>0</v>
      </c>
      <c r="J35" s="2">
        <f t="shared" ca="1" si="10"/>
        <v>0</v>
      </c>
      <c r="K35" s="2">
        <f t="shared" ca="1" si="10"/>
        <v>0</v>
      </c>
      <c r="L35" s="2">
        <f t="shared" ca="1" si="10"/>
        <v>3000</v>
      </c>
      <c r="M35" s="2">
        <f t="shared" ca="1" si="10"/>
        <v>37392.143148654483</v>
      </c>
      <c r="N35" s="2">
        <f t="shared" ca="1" si="10"/>
        <v>0</v>
      </c>
      <c r="O35" s="2">
        <f t="shared" ca="1" si="10"/>
        <v>23392.143148654483</v>
      </c>
      <c r="P35" s="2">
        <f t="shared" ca="1" si="10"/>
        <v>14823.570554036552</v>
      </c>
      <c r="Q35" s="2">
        <f t="shared" ca="1" si="10"/>
        <v>0</v>
      </c>
      <c r="R35" s="2">
        <f t="shared" ca="1" si="10"/>
        <v>0</v>
      </c>
      <c r="S35" s="2">
        <f t="shared" ca="1" si="10"/>
        <v>0</v>
      </c>
      <c r="T35" s="2">
        <f t="shared" ca="1" si="10"/>
        <v>0</v>
      </c>
      <c r="U35" s="2">
        <f t="shared" ca="1" si="10"/>
        <v>0</v>
      </c>
      <c r="V35" s="2">
        <f t="shared" ca="1" si="10"/>
        <v>0</v>
      </c>
      <c r="W35" s="2">
        <f t="shared" ca="1" si="10"/>
        <v>0</v>
      </c>
      <c r="X35" s="2">
        <f t="shared" ca="1" si="10"/>
        <v>0</v>
      </c>
      <c r="Y35" s="2">
        <f t="shared" ca="1" si="10"/>
        <v>0</v>
      </c>
      <c r="Z35" s="2">
        <f t="shared" ca="1" si="10"/>
        <v>0</v>
      </c>
      <c r="AA35" s="2">
        <f t="shared" ca="1" si="10"/>
        <v>0</v>
      </c>
      <c r="AB35" s="2">
        <f t="shared" ca="1" si="10"/>
        <v>0</v>
      </c>
      <c r="AC35" s="2">
        <f t="shared" ca="1" si="10"/>
        <v>0</v>
      </c>
      <c r="AD35" s="2">
        <f t="shared" ca="1" si="10"/>
        <v>0</v>
      </c>
      <c r="AE35" s="2">
        <f t="shared" ca="1" si="10"/>
        <v>0</v>
      </c>
      <c r="AF35" s="2">
        <f t="shared" ca="1" si="10"/>
        <v>0</v>
      </c>
      <c r="AG35" s="2">
        <f t="shared" ca="1" si="10"/>
        <v>0</v>
      </c>
      <c r="AH35" s="2">
        <f t="shared" ca="1" si="10"/>
        <v>0</v>
      </c>
      <c r="AI35" s="2">
        <f t="shared" ca="1" si="10"/>
        <v>0</v>
      </c>
      <c r="AJ35" s="2">
        <f t="shared" ca="1" si="10"/>
        <v>0</v>
      </c>
      <c r="AK35" s="2">
        <f t="shared" ca="1" si="10"/>
        <v>0</v>
      </c>
      <c r="AL35" s="2">
        <f t="shared" ca="1" si="10"/>
        <v>0</v>
      </c>
      <c r="AM35" s="2">
        <f t="shared" ca="1" si="10"/>
        <v>0</v>
      </c>
      <c r="AN35" s="2">
        <f t="shared" ca="1" si="10"/>
        <v>0</v>
      </c>
      <c r="AO35" s="2">
        <f t="shared" ca="1" si="10"/>
        <v>0</v>
      </c>
      <c r="AP35" s="2">
        <f t="shared" ca="1" si="10"/>
        <v>0</v>
      </c>
      <c r="AQ35" s="2">
        <f t="shared" ca="1" si="10"/>
        <v>0</v>
      </c>
      <c r="AR35" s="2">
        <f t="shared" ca="1" si="10"/>
        <v>0</v>
      </c>
      <c r="AS35" s="2">
        <f t="shared" ca="1" si="10"/>
        <v>0</v>
      </c>
      <c r="AT35" s="2">
        <f t="shared" ca="1" si="10"/>
        <v>0</v>
      </c>
      <c r="AU35" s="2">
        <f t="shared" ca="1" si="10"/>
        <v>0</v>
      </c>
      <c r="AV35" s="2">
        <f t="shared" ca="1" si="10"/>
        <v>0</v>
      </c>
      <c r="AW35" s="2">
        <f t="shared" ca="1" si="10"/>
        <v>0</v>
      </c>
      <c r="AX35" s="2">
        <f t="shared" ca="1" si="10"/>
        <v>0</v>
      </c>
      <c r="AY35" s="2">
        <f t="shared" ca="1" si="10"/>
        <v>0</v>
      </c>
      <c r="AZ35" s="2">
        <f t="shared" ca="1" si="10"/>
        <v>0</v>
      </c>
      <c r="BA35" s="2">
        <f t="shared" ca="1" si="10"/>
        <v>0</v>
      </c>
      <c r="BB35" s="2">
        <f t="shared" ca="1" si="10"/>
        <v>0</v>
      </c>
      <c r="BC35" s="2">
        <f t="shared" ca="1" si="10"/>
        <v>0</v>
      </c>
      <c r="BD35" s="2">
        <f t="shared" ca="1" si="10"/>
        <v>0</v>
      </c>
      <c r="BE35" s="2">
        <f t="shared" ca="1" si="10"/>
        <v>0</v>
      </c>
      <c r="BF35" s="2">
        <f t="shared" ca="1" si="10"/>
        <v>0</v>
      </c>
      <c r="BG35" s="2">
        <f t="shared" ca="1" si="10"/>
        <v>0</v>
      </c>
      <c r="BH35" s="2">
        <f t="shared" ca="1" si="10"/>
        <v>0</v>
      </c>
      <c r="BI35" s="2">
        <f t="shared" ca="1" si="10"/>
        <v>0</v>
      </c>
      <c r="BJ35" s="2">
        <f t="shared" ca="1" si="10"/>
        <v>0</v>
      </c>
      <c r="BK35" s="2">
        <f t="shared" ca="1" si="10"/>
        <v>0</v>
      </c>
      <c r="BL35" s="2">
        <f t="shared" ca="1" si="10"/>
        <v>0</v>
      </c>
      <c r="BM35" s="2">
        <f t="shared" ca="1" si="10"/>
        <v>0</v>
      </c>
      <c r="BN35" s="2">
        <f t="shared" ca="1" si="10"/>
        <v>0</v>
      </c>
      <c r="BO35" s="2">
        <f t="shared" ca="1" si="10"/>
        <v>0</v>
      </c>
      <c r="BP35" s="2">
        <f t="shared" ca="1" si="10"/>
        <v>0</v>
      </c>
      <c r="BQ35" s="2">
        <f t="shared" ca="1" si="10"/>
        <v>0</v>
      </c>
    </row>
    <row r="36" spans="1:69" s="86" customFormat="1" outlineLevel="1">
      <c r="A36" s="167"/>
      <c r="B36" s="167"/>
      <c r="C36" s="208"/>
      <c r="D36" s="242"/>
      <c r="E36" s="86" t="s">
        <v>84</v>
      </c>
      <c r="G36" s="86" t="s">
        <v>257</v>
      </c>
      <c r="I36" s="36">
        <f t="shared" ref="I36:BQ36" si="11" xml:space="preserve">  IF( I32 = 1, $F31, I33 + I34 - I35 )</f>
        <v>0</v>
      </c>
      <c r="J36" s="36">
        <f t="shared" si="11"/>
        <v>0</v>
      </c>
      <c r="K36" s="36">
        <f t="shared" ca="1" si="11"/>
        <v>67000</v>
      </c>
      <c r="L36" s="36">
        <f t="shared" ca="1" si="11"/>
        <v>64000</v>
      </c>
      <c r="M36" s="36">
        <f t="shared" ca="1" si="11"/>
        <v>26607.856851345517</v>
      </c>
      <c r="N36" s="36">
        <f t="shared" ca="1" si="11"/>
        <v>38215.713702691035</v>
      </c>
      <c r="O36" s="36">
        <f t="shared" ca="1" si="11"/>
        <v>14823.570554036552</v>
      </c>
      <c r="P36" s="36">
        <f t="shared" ca="1" si="11"/>
        <v>0</v>
      </c>
      <c r="Q36" s="36">
        <f t="shared" ca="1" si="11"/>
        <v>0</v>
      </c>
      <c r="R36" s="36">
        <f t="shared" ca="1" si="11"/>
        <v>0</v>
      </c>
      <c r="S36" s="36">
        <f t="shared" ca="1" si="11"/>
        <v>0</v>
      </c>
      <c r="T36" s="36">
        <f t="shared" ca="1" si="11"/>
        <v>0</v>
      </c>
      <c r="U36" s="36">
        <f t="shared" ca="1" si="11"/>
        <v>0</v>
      </c>
      <c r="V36" s="36">
        <f t="shared" ca="1" si="11"/>
        <v>0</v>
      </c>
      <c r="W36" s="36">
        <f t="shared" ca="1" si="11"/>
        <v>0</v>
      </c>
      <c r="X36" s="36">
        <f t="shared" ca="1" si="11"/>
        <v>0</v>
      </c>
      <c r="Y36" s="36">
        <f t="shared" ca="1" si="11"/>
        <v>0</v>
      </c>
      <c r="Z36" s="36">
        <f t="shared" ca="1" si="11"/>
        <v>0</v>
      </c>
      <c r="AA36" s="36">
        <f t="shared" ca="1" si="11"/>
        <v>0</v>
      </c>
      <c r="AB36" s="36">
        <f t="shared" ca="1" si="11"/>
        <v>0</v>
      </c>
      <c r="AC36" s="36">
        <f t="shared" ca="1" si="11"/>
        <v>0</v>
      </c>
      <c r="AD36" s="36">
        <f t="shared" ca="1" si="11"/>
        <v>0</v>
      </c>
      <c r="AE36" s="36">
        <f t="shared" ca="1" si="11"/>
        <v>0</v>
      </c>
      <c r="AF36" s="36">
        <f t="shared" ca="1" si="11"/>
        <v>0</v>
      </c>
      <c r="AG36" s="36">
        <f t="shared" ca="1" si="11"/>
        <v>0</v>
      </c>
      <c r="AH36" s="36">
        <f t="shared" ca="1" si="11"/>
        <v>0</v>
      </c>
      <c r="AI36" s="36">
        <f t="shared" ca="1" si="11"/>
        <v>0</v>
      </c>
      <c r="AJ36" s="36">
        <f t="shared" ca="1" si="11"/>
        <v>0</v>
      </c>
      <c r="AK36" s="36">
        <f t="shared" ca="1" si="11"/>
        <v>0</v>
      </c>
      <c r="AL36" s="36">
        <f t="shared" ca="1" si="11"/>
        <v>0</v>
      </c>
      <c r="AM36" s="36">
        <f t="shared" ca="1" si="11"/>
        <v>0</v>
      </c>
      <c r="AN36" s="36">
        <f t="shared" ca="1" si="11"/>
        <v>0</v>
      </c>
      <c r="AO36" s="36">
        <f t="shared" ca="1" si="11"/>
        <v>0</v>
      </c>
      <c r="AP36" s="36">
        <f t="shared" ca="1" si="11"/>
        <v>0</v>
      </c>
      <c r="AQ36" s="36">
        <f t="shared" ca="1" si="11"/>
        <v>0</v>
      </c>
      <c r="AR36" s="36">
        <f t="shared" ca="1" si="11"/>
        <v>0</v>
      </c>
      <c r="AS36" s="36">
        <f t="shared" ca="1" si="11"/>
        <v>0</v>
      </c>
      <c r="AT36" s="36">
        <f t="shared" ca="1" si="11"/>
        <v>0</v>
      </c>
      <c r="AU36" s="36">
        <f t="shared" ca="1" si="11"/>
        <v>0</v>
      </c>
      <c r="AV36" s="36">
        <f t="shared" ca="1" si="11"/>
        <v>0</v>
      </c>
      <c r="AW36" s="36">
        <f t="shared" ca="1" si="11"/>
        <v>0</v>
      </c>
      <c r="AX36" s="36">
        <f t="shared" ca="1" si="11"/>
        <v>0</v>
      </c>
      <c r="AY36" s="36">
        <f t="shared" ca="1" si="11"/>
        <v>0</v>
      </c>
      <c r="AZ36" s="36">
        <f t="shared" ca="1" si="11"/>
        <v>0</v>
      </c>
      <c r="BA36" s="36">
        <f t="shared" ca="1" si="11"/>
        <v>0</v>
      </c>
      <c r="BB36" s="36">
        <f t="shared" ca="1" si="11"/>
        <v>0</v>
      </c>
      <c r="BC36" s="36">
        <f t="shared" ca="1" si="11"/>
        <v>0</v>
      </c>
      <c r="BD36" s="36">
        <f t="shared" ca="1" si="11"/>
        <v>0</v>
      </c>
      <c r="BE36" s="36">
        <f t="shared" ca="1" si="11"/>
        <v>0</v>
      </c>
      <c r="BF36" s="36">
        <f t="shared" ca="1" si="11"/>
        <v>0</v>
      </c>
      <c r="BG36" s="36">
        <f t="shared" ca="1" si="11"/>
        <v>0</v>
      </c>
      <c r="BH36" s="36">
        <f t="shared" ca="1" si="11"/>
        <v>0</v>
      </c>
      <c r="BI36" s="36">
        <f t="shared" ca="1" si="11"/>
        <v>0</v>
      </c>
      <c r="BJ36" s="36">
        <f t="shared" ca="1" si="11"/>
        <v>0</v>
      </c>
      <c r="BK36" s="36">
        <f t="shared" ca="1" si="11"/>
        <v>0</v>
      </c>
      <c r="BL36" s="36">
        <f t="shared" ca="1" si="11"/>
        <v>0</v>
      </c>
      <c r="BM36" s="36">
        <f t="shared" ca="1" si="11"/>
        <v>0</v>
      </c>
      <c r="BN36" s="36">
        <f t="shared" ca="1" si="11"/>
        <v>0</v>
      </c>
      <c r="BO36" s="36">
        <f t="shared" ca="1" si="11"/>
        <v>0</v>
      </c>
      <c r="BP36" s="36">
        <f t="shared" ca="1" si="11"/>
        <v>0</v>
      </c>
      <c r="BQ36" s="36">
        <f t="shared" ca="1" si="11"/>
        <v>0</v>
      </c>
    </row>
    <row r="38" spans="1:69">
      <c r="B38" s="25" t="s">
        <v>136</v>
      </c>
    </row>
    <row r="39" spans="1:69" outlineLevel="1">
      <c r="E39" s="2" t="str">
        <f t="shared" ref="E39:BQ39" si="12" xml:space="preserve">  E$15</f>
        <v>Taxable income</v>
      </c>
      <c r="F39" s="2">
        <f t="shared" si="12"/>
        <v>0</v>
      </c>
      <c r="G39" s="2" t="str">
        <f t="shared" si="12"/>
        <v>GBP</v>
      </c>
      <c r="H39" s="2">
        <f t="shared" ca="1" si="12"/>
        <v>340673005.16082966</v>
      </c>
      <c r="I39" s="2">
        <f t="shared" si="12"/>
        <v>0</v>
      </c>
      <c r="J39" s="2">
        <f t="shared" ca="1" si="12"/>
        <v>0</v>
      </c>
      <c r="K39" s="2">
        <f t="shared" ca="1" si="12"/>
        <v>0</v>
      </c>
      <c r="L39" s="2">
        <f t="shared" ca="1" si="12"/>
        <v>3000</v>
      </c>
      <c r="M39" s="2">
        <f t="shared" ca="1" si="12"/>
        <v>37392.143148654483</v>
      </c>
      <c r="N39" s="2">
        <f t="shared" ca="1" si="12"/>
        <v>0</v>
      </c>
      <c r="O39" s="2">
        <f t="shared" ca="1" si="12"/>
        <v>23392.143148654483</v>
      </c>
      <c r="P39" s="2">
        <f t="shared" ca="1" si="12"/>
        <v>197769.50669923986</v>
      </c>
      <c r="Q39" s="2">
        <f t="shared" ca="1" si="12"/>
        <v>218769.50669923986</v>
      </c>
      <c r="R39" s="2">
        <f t="shared" ca="1" si="12"/>
        <v>288769.50669923984</v>
      </c>
      <c r="S39" s="2">
        <f t="shared" ca="1" si="12"/>
        <v>288131.73129655828</v>
      </c>
      <c r="T39" s="2">
        <f t="shared" ca="1" si="12"/>
        <v>638131.73129655828</v>
      </c>
      <c r="U39" s="2">
        <f t="shared" ca="1" si="12"/>
        <v>638131.73129655828</v>
      </c>
      <c r="V39" s="2">
        <f t="shared" ca="1" si="12"/>
        <v>975012.75018454797</v>
      </c>
      <c r="W39" s="2">
        <f t="shared" ca="1" si="12"/>
        <v>1252189.0113679084</v>
      </c>
      <c r="X39" s="2">
        <f t="shared" ca="1" si="12"/>
        <v>1297766.5058494285</v>
      </c>
      <c r="Y39" s="2">
        <f t="shared" ca="1" si="12"/>
        <v>1627193.3349507609</v>
      </c>
      <c r="Z39" s="2">
        <f t="shared" ca="1" si="12"/>
        <v>1616512.2409604841</v>
      </c>
      <c r="AA39" s="2">
        <f t="shared" ca="1" si="12"/>
        <v>1599843.7622378413</v>
      </c>
      <c r="AB39" s="2">
        <f t="shared" ca="1" si="12"/>
        <v>1581500.1056152987</v>
      </c>
      <c r="AC39" s="2">
        <f t="shared" ca="1" si="12"/>
        <v>1562790.3708460801</v>
      </c>
      <c r="AD39" s="2">
        <f t="shared" ca="1" si="12"/>
        <v>1542968.0973528419</v>
      </c>
      <c r="AE39" s="2">
        <f t="shared" ca="1" si="12"/>
        <v>1696264.245770883</v>
      </c>
      <c r="AF39" s="2">
        <f t="shared" ca="1" si="12"/>
        <v>1849014.4960635144</v>
      </c>
      <c r="AG39" s="2">
        <f t="shared" ca="1" si="12"/>
        <v>2000441.7073898257</v>
      </c>
      <c r="AH39" s="2">
        <f t="shared" ca="1" si="12"/>
        <v>2251972.8696589647</v>
      </c>
      <c r="AI39" s="2">
        <f t="shared" ca="1" si="12"/>
        <v>2365513.3089999319</v>
      </c>
      <c r="AJ39" s="2">
        <f t="shared" ca="1" si="12"/>
        <v>2652480.3809887255</v>
      </c>
      <c r="AK39" s="2">
        <f t="shared" ca="1" si="12"/>
        <v>2762045.636807661</v>
      </c>
      <c r="AL39" s="2">
        <f t="shared" ca="1" si="12"/>
        <v>2899979.7390120933</v>
      </c>
      <c r="AM39" s="2">
        <f t="shared" ca="1" si="12"/>
        <v>3111642.7815668075</v>
      </c>
      <c r="AN39" s="2">
        <f t="shared" ca="1" si="12"/>
        <v>3320570.7620946448</v>
      </c>
      <c r="AO39" s="2">
        <f t="shared" ca="1" si="12"/>
        <v>3382551.2925562072</v>
      </c>
      <c r="AP39" s="2">
        <f t="shared" ca="1" si="12"/>
        <v>3692906.7455697311</v>
      </c>
      <c r="AQ39" s="2">
        <f t="shared" ca="1" si="12"/>
        <v>3825131.8335098061</v>
      </c>
      <c r="AR39" s="2">
        <f t="shared" ca="1" si="12"/>
        <v>4130632.3340950687</v>
      </c>
      <c r="AS39" s="2">
        <f t="shared" ca="1" si="12"/>
        <v>4433486.7567476919</v>
      </c>
      <c r="AT39" s="2">
        <f t="shared" ca="1" si="12"/>
        <v>4886129.2635839609</v>
      </c>
      <c r="AU39" s="2">
        <f t="shared" ca="1" si="12"/>
        <v>5149872.4815151896</v>
      </c>
      <c r="AV39" s="2">
        <f t="shared" ca="1" si="12"/>
        <v>5573080.5627622576</v>
      </c>
      <c r="AW39" s="2">
        <f t="shared" ca="1" si="12"/>
        <v>6154021.1902558384</v>
      </c>
      <c r="AX39" s="2">
        <f t="shared" ca="1" si="12"/>
        <v>6543332.7661769409</v>
      </c>
      <c r="AY39" s="2">
        <f t="shared" ca="1" si="12"/>
        <v>7089169.8470206996</v>
      </c>
      <c r="AZ39" s="2">
        <f t="shared" ca="1" si="12"/>
        <v>7614605.686689809</v>
      </c>
      <c r="BA39" s="2">
        <f t="shared" ca="1" si="12"/>
        <v>8120132.8022262035</v>
      </c>
      <c r="BB39" s="2">
        <f t="shared" ca="1" si="12"/>
        <v>8603689.9167705346</v>
      </c>
      <c r="BC39" s="2">
        <f t="shared" ca="1" si="12"/>
        <v>9238120.5546223614</v>
      </c>
      <c r="BD39" s="2">
        <f t="shared" ca="1" si="12"/>
        <v>9848740.7716176622</v>
      </c>
      <c r="BE39" s="2">
        <f t="shared" ca="1" si="12"/>
        <v>10608234.107116587</v>
      </c>
      <c r="BF39" s="2">
        <f t="shared" ca="1" si="12"/>
        <v>11307706.552829666</v>
      </c>
      <c r="BG39" s="2">
        <f t="shared" ca="1" si="12"/>
        <v>11978692.988692125</v>
      </c>
      <c r="BH39" s="2">
        <f t="shared" ca="1" si="12"/>
        <v>12793609.151186263</v>
      </c>
      <c r="BI39" s="2">
        <f t="shared" ca="1" si="12"/>
        <v>13574717.989329349</v>
      </c>
      <c r="BJ39" s="2">
        <f t="shared" ca="1" si="12"/>
        <v>14433841.141171558</v>
      </c>
      <c r="BK39" s="2">
        <f t="shared" ca="1" si="12"/>
        <v>15256015.302859072</v>
      </c>
      <c r="BL39" s="2">
        <f t="shared" ca="1" si="12"/>
        <v>16213132.24076022</v>
      </c>
      <c r="BM39" s="2">
        <f t="shared" ca="1" si="12"/>
        <v>17066686.471833006</v>
      </c>
      <c r="BN39" s="2">
        <f t="shared" ca="1" si="12"/>
        <v>18051300.70092167</v>
      </c>
      <c r="BO39" s="2">
        <f t="shared" ca="1" si="12"/>
        <v>19163435.353809442</v>
      </c>
      <c r="BP39" s="2">
        <f t="shared" ca="1" si="12"/>
        <v>20227175.78780004</v>
      </c>
      <c r="BQ39" s="2">
        <f t="shared" ca="1" si="12"/>
        <v>21413662.458797891</v>
      </c>
    </row>
    <row r="40" spans="1:69" outlineLevel="1">
      <c r="E40" s="2" t="str">
        <f t="shared" ref="E40:BQ40" si="13" xml:space="preserve">  E$27</f>
        <v>Tax losses utilised</v>
      </c>
      <c r="F40" s="2">
        <f t="shared" si="13"/>
        <v>0</v>
      </c>
      <c r="G40" s="2" t="str">
        <f t="shared" si="13"/>
        <v>GBP</v>
      </c>
      <c r="H40" s="2">
        <f t="shared" ca="1" si="13"/>
        <v>78607.85685134551</v>
      </c>
      <c r="I40" s="2">
        <f t="shared" si="13"/>
        <v>0</v>
      </c>
      <c r="J40" s="2">
        <f t="shared" ca="1" si="13"/>
        <v>0</v>
      </c>
      <c r="K40" s="2">
        <f t="shared" ca="1" si="13"/>
        <v>0</v>
      </c>
      <c r="L40" s="2">
        <f t="shared" ca="1" si="13"/>
        <v>3000</v>
      </c>
      <c r="M40" s="2">
        <f t="shared" ca="1" si="13"/>
        <v>37392.143148654483</v>
      </c>
      <c r="N40" s="2">
        <f t="shared" ca="1" si="13"/>
        <v>0</v>
      </c>
      <c r="O40" s="2">
        <f t="shared" ca="1" si="13"/>
        <v>23392.143148654483</v>
      </c>
      <c r="P40" s="2">
        <f t="shared" ca="1" si="13"/>
        <v>14823.570554036552</v>
      </c>
      <c r="Q40" s="2">
        <f t="shared" ca="1" si="13"/>
        <v>0</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136</v>
      </c>
      <c r="G41" s="47" t="s">
        <v>257</v>
      </c>
      <c r="H41" s="2">
        <f ca="1" xml:space="preserve"> SUM( J41:BQ41 )</f>
        <v>340594397.30397832</v>
      </c>
      <c r="J41" s="2">
        <f t="shared" ref="J41:BQ41" ca="1" si="14" xml:space="preserve">  J39 - J40</f>
        <v>0</v>
      </c>
      <c r="K41" s="2">
        <f t="shared" ca="1" si="14"/>
        <v>0</v>
      </c>
      <c r="L41" s="2">
        <f t="shared" ca="1" si="14"/>
        <v>0</v>
      </c>
      <c r="M41" s="2">
        <f t="shared" ca="1" si="14"/>
        <v>0</v>
      </c>
      <c r="N41" s="2">
        <f t="shared" ca="1" si="14"/>
        <v>0</v>
      </c>
      <c r="O41" s="2">
        <f t="shared" ca="1" si="14"/>
        <v>0</v>
      </c>
      <c r="P41" s="2">
        <f t="shared" ca="1" si="14"/>
        <v>182945.9361452033</v>
      </c>
      <c r="Q41" s="2">
        <f t="shared" ca="1" si="14"/>
        <v>218769.50669923986</v>
      </c>
      <c r="R41" s="2">
        <f t="shared" ca="1" si="14"/>
        <v>288769.50669923984</v>
      </c>
      <c r="S41" s="2">
        <f t="shared" ca="1" si="14"/>
        <v>288131.73129655828</v>
      </c>
      <c r="T41" s="2">
        <f t="shared" ca="1" si="14"/>
        <v>638131.73129655828</v>
      </c>
      <c r="U41" s="2">
        <f t="shared" ca="1" si="14"/>
        <v>638131.73129655828</v>
      </c>
      <c r="V41" s="2">
        <f t="shared" ca="1" si="14"/>
        <v>975012.75018454797</v>
      </c>
      <c r="W41" s="2">
        <f t="shared" ca="1" si="14"/>
        <v>1252189.0113679084</v>
      </c>
      <c r="X41" s="2">
        <f t="shared" ca="1" si="14"/>
        <v>1297766.5058494285</v>
      </c>
      <c r="Y41" s="2">
        <f t="shared" ca="1" si="14"/>
        <v>1627193.3349507609</v>
      </c>
      <c r="Z41" s="2">
        <f t="shared" ca="1" si="14"/>
        <v>1616512.2409604841</v>
      </c>
      <c r="AA41" s="2">
        <f t="shared" ca="1" si="14"/>
        <v>1599843.7622378413</v>
      </c>
      <c r="AB41" s="2">
        <f t="shared" ca="1" si="14"/>
        <v>1581500.1056152987</v>
      </c>
      <c r="AC41" s="2">
        <f t="shared" ca="1" si="14"/>
        <v>1562790.3708460801</v>
      </c>
      <c r="AD41" s="2">
        <f t="shared" ca="1" si="14"/>
        <v>1542968.0973528419</v>
      </c>
      <c r="AE41" s="2">
        <f t="shared" ca="1" si="14"/>
        <v>1696264.245770883</v>
      </c>
      <c r="AF41" s="2">
        <f t="shared" ca="1" si="14"/>
        <v>1849014.4960635144</v>
      </c>
      <c r="AG41" s="2">
        <f t="shared" ca="1" si="14"/>
        <v>2000441.7073898257</v>
      </c>
      <c r="AH41" s="2">
        <f t="shared" ca="1" si="14"/>
        <v>2251972.8696589647</v>
      </c>
      <c r="AI41" s="2">
        <f t="shared" ca="1" si="14"/>
        <v>2365513.3089999319</v>
      </c>
      <c r="AJ41" s="2">
        <f t="shared" ca="1" si="14"/>
        <v>2652480.3809887255</v>
      </c>
      <c r="AK41" s="2">
        <f t="shared" ca="1" si="14"/>
        <v>2762045.636807661</v>
      </c>
      <c r="AL41" s="2">
        <f t="shared" ca="1" si="14"/>
        <v>2899979.7390120933</v>
      </c>
      <c r="AM41" s="2">
        <f t="shared" ca="1" si="14"/>
        <v>3111642.7815668075</v>
      </c>
      <c r="AN41" s="2">
        <f t="shared" ca="1" si="14"/>
        <v>3320570.7620946448</v>
      </c>
      <c r="AO41" s="2">
        <f t="shared" ca="1" si="14"/>
        <v>3382551.2925562072</v>
      </c>
      <c r="AP41" s="2">
        <f t="shared" ca="1" si="14"/>
        <v>3692906.7455697311</v>
      </c>
      <c r="AQ41" s="2">
        <f t="shared" ca="1" si="14"/>
        <v>3825131.8335098061</v>
      </c>
      <c r="AR41" s="2">
        <f t="shared" ca="1" si="14"/>
        <v>4130632.3340950687</v>
      </c>
      <c r="AS41" s="2">
        <f t="shared" ca="1" si="14"/>
        <v>4433486.7567476919</v>
      </c>
      <c r="AT41" s="2">
        <f t="shared" ca="1" si="14"/>
        <v>4886129.2635839609</v>
      </c>
      <c r="AU41" s="2">
        <f t="shared" ca="1" si="14"/>
        <v>5149872.4815151896</v>
      </c>
      <c r="AV41" s="2">
        <f t="shared" ca="1" si="14"/>
        <v>5573080.5627622576</v>
      </c>
      <c r="AW41" s="2">
        <f t="shared" ca="1" si="14"/>
        <v>6154021.1902558384</v>
      </c>
      <c r="AX41" s="2">
        <f t="shared" ca="1" si="14"/>
        <v>6543332.7661769409</v>
      </c>
      <c r="AY41" s="2">
        <f t="shared" ca="1" si="14"/>
        <v>7089169.8470206996</v>
      </c>
      <c r="AZ41" s="2">
        <f t="shared" ca="1" si="14"/>
        <v>7614605.686689809</v>
      </c>
      <c r="BA41" s="2">
        <f t="shared" ca="1" si="14"/>
        <v>8120132.8022262035</v>
      </c>
      <c r="BB41" s="2">
        <f t="shared" ca="1" si="14"/>
        <v>8603689.9167705346</v>
      </c>
      <c r="BC41" s="2">
        <f t="shared" ca="1" si="14"/>
        <v>9238120.5546223614</v>
      </c>
      <c r="BD41" s="2">
        <f t="shared" ca="1" si="14"/>
        <v>9848740.7716176622</v>
      </c>
      <c r="BE41" s="2">
        <f t="shared" ca="1" si="14"/>
        <v>10608234.107116587</v>
      </c>
      <c r="BF41" s="2">
        <f t="shared" ca="1" si="14"/>
        <v>11307706.552829666</v>
      </c>
      <c r="BG41" s="2">
        <f t="shared" ca="1" si="14"/>
        <v>11978692.988692125</v>
      </c>
      <c r="BH41" s="2">
        <f t="shared" ca="1" si="14"/>
        <v>12793609.151186263</v>
      </c>
      <c r="BI41" s="2">
        <f t="shared" ca="1" si="14"/>
        <v>13574717.989329349</v>
      </c>
      <c r="BJ41" s="2">
        <f t="shared" ca="1" si="14"/>
        <v>14433841.141171558</v>
      </c>
      <c r="BK41" s="2">
        <f t="shared" ca="1" si="14"/>
        <v>15256015.302859072</v>
      </c>
      <c r="BL41" s="2">
        <f t="shared" ca="1" si="14"/>
        <v>16213132.24076022</v>
      </c>
      <c r="BM41" s="2">
        <f t="shared" ca="1" si="14"/>
        <v>17066686.471833006</v>
      </c>
      <c r="BN41" s="2">
        <f t="shared" ca="1" si="14"/>
        <v>18051300.70092167</v>
      </c>
      <c r="BO41" s="2">
        <f t="shared" ca="1" si="14"/>
        <v>19163435.353809442</v>
      </c>
      <c r="BP41" s="2">
        <f t="shared" ca="1" si="14"/>
        <v>20227175.78780004</v>
      </c>
      <c r="BQ41" s="2">
        <f t="shared" ca="1" si="14"/>
        <v>21413662.458797891</v>
      </c>
    </row>
    <row r="44" spans="1:69">
      <c r="B44" s="25" t="s">
        <v>269</v>
      </c>
    </row>
    <row r="45" spans="1:69" outlineLevel="1">
      <c r="A45" s="18"/>
      <c r="B45" s="18"/>
      <c r="C45" s="28"/>
      <c r="D45" s="27"/>
      <c r="E45" s="43" t="str">
        <f xml:space="preserve">  InpC!E$90</f>
        <v>Corporation tax rate</v>
      </c>
      <c r="F45" s="43">
        <f xml:space="preserve">  InpC!F$90</f>
        <v>0.2</v>
      </c>
      <c r="G45" s="43" t="str">
        <f xml:space="preserve">  InpC!G$90</f>
        <v>%</v>
      </c>
      <c r="M45" s="57"/>
    </row>
    <row r="46" spans="1:69" outlineLevel="1">
      <c r="E46" s="2" t="str">
        <f t="shared" ref="E46:BQ46" si="15" xml:space="preserve">  E$41</f>
        <v>Taxable income net of tax losses utilised</v>
      </c>
      <c r="F46" s="2">
        <f t="shared" si="15"/>
        <v>0</v>
      </c>
      <c r="G46" s="2" t="str">
        <f t="shared" si="15"/>
        <v>GBP</v>
      </c>
      <c r="H46" s="2">
        <f t="shared" ca="1" si="15"/>
        <v>340594397.30397832</v>
      </c>
      <c r="I46" s="2">
        <f t="shared" si="15"/>
        <v>0</v>
      </c>
      <c r="J46" s="2">
        <f t="shared" ca="1" si="15"/>
        <v>0</v>
      </c>
      <c r="K46" s="2">
        <f t="shared" ca="1" si="15"/>
        <v>0</v>
      </c>
      <c r="L46" s="2">
        <f t="shared" ca="1" si="15"/>
        <v>0</v>
      </c>
      <c r="M46" s="2">
        <f t="shared" ca="1" si="15"/>
        <v>0</v>
      </c>
      <c r="N46" s="2">
        <f t="shared" ca="1" si="15"/>
        <v>0</v>
      </c>
      <c r="O46" s="2">
        <f t="shared" ca="1" si="15"/>
        <v>0</v>
      </c>
      <c r="P46" s="2">
        <f t="shared" ca="1" si="15"/>
        <v>182945.9361452033</v>
      </c>
      <c r="Q46" s="2">
        <f t="shared" ca="1" si="15"/>
        <v>218769.50669923986</v>
      </c>
      <c r="R46" s="2">
        <f t="shared" ca="1" si="15"/>
        <v>288769.50669923984</v>
      </c>
      <c r="S46" s="2">
        <f t="shared" ca="1" si="15"/>
        <v>288131.73129655828</v>
      </c>
      <c r="T46" s="2">
        <f t="shared" ca="1" si="15"/>
        <v>638131.73129655828</v>
      </c>
      <c r="U46" s="2">
        <f t="shared" ca="1" si="15"/>
        <v>638131.73129655828</v>
      </c>
      <c r="V46" s="2">
        <f t="shared" ca="1" si="15"/>
        <v>975012.75018454797</v>
      </c>
      <c r="W46" s="2">
        <f t="shared" ca="1" si="15"/>
        <v>1252189.0113679084</v>
      </c>
      <c r="X46" s="2">
        <f t="shared" ca="1" si="15"/>
        <v>1297766.5058494285</v>
      </c>
      <c r="Y46" s="2">
        <f t="shared" ca="1" si="15"/>
        <v>1627193.3349507609</v>
      </c>
      <c r="Z46" s="2">
        <f t="shared" ca="1" si="15"/>
        <v>1616512.2409604841</v>
      </c>
      <c r="AA46" s="2">
        <f t="shared" ca="1" si="15"/>
        <v>1599843.7622378413</v>
      </c>
      <c r="AB46" s="2">
        <f t="shared" ca="1" si="15"/>
        <v>1581500.1056152987</v>
      </c>
      <c r="AC46" s="2">
        <f t="shared" ca="1" si="15"/>
        <v>1562790.3708460801</v>
      </c>
      <c r="AD46" s="2">
        <f t="shared" ca="1" si="15"/>
        <v>1542968.0973528419</v>
      </c>
      <c r="AE46" s="2">
        <f t="shared" ca="1" si="15"/>
        <v>1696264.245770883</v>
      </c>
      <c r="AF46" s="2">
        <f t="shared" ca="1" si="15"/>
        <v>1849014.4960635144</v>
      </c>
      <c r="AG46" s="2">
        <f t="shared" ca="1" si="15"/>
        <v>2000441.7073898257</v>
      </c>
      <c r="AH46" s="2">
        <f t="shared" ca="1" si="15"/>
        <v>2251972.8696589647</v>
      </c>
      <c r="AI46" s="2">
        <f t="shared" ca="1" si="15"/>
        <v>2365513.3089999319</v>
      </c>
      <c r="AJ46" s="2">
        <f t="shared" ca="1" si="15"/>
        <v>2652480.3809887255</v>
      </c>
      <c r="AK46" s="2">
        <f t="shared" ca="1" si="15"/>
        <v>2762045.636807661</v>
      </c>
      <c r="AL46" s="2">
        <f t="shared" ca="1" si="15"/>
        <v>2899979.7390120933</v>
      </c>
      <c r="AM46" s="2">
        <f t="shared" ca="1" si="15"/>
        <v>3111642.7815668075</v>
      </c>
      <c r="AN46" s="2">
        <f t="shared" ca="1" si="15"/>
        <v>3320570.7620946448</v>
      </c>
      <c r="AO46" s="2">
        <f t="shared" ca="1" si="15"/>
        <v>3382551.2925562072</v>
      </c>
      <c r="AP46" s="2">
        <f t="shared" ca="1" si="15"/>
        <v>3692906.7455697311</v>
      </c>
      <c r="AQ46" s="2">
        <f t="shared" ca="1" si="15"/>
        <v>3825131.8335098061</v>
      </c>
      <c r="AR46" s="2">
        <f t="shared" ca="1" si="15"/>
        <v>4130632.3340950687</v>
      </c>
      <c r="AS46" s="2">
        <f t="shared" ca="1" si="15"/>
        <v>4433486.7567476919</v>
      </c>
      <c r="AT46" s="2">
        <f t="shared" ca="1" si="15"/>
        <v>4886129.2635839609</v>
      </c>
      <c r="AU46" s="2">
        <f t="shared" ca="1" si="15"/>
        <v>5149872.4815151896</v>
      </c>
      <c r="AV46" s="2">
        <f t="shared" ca="1" si="15"/>
        <v>5573080.5627622576</v>
      </c>
      <c r="AW46" s="2">
        <f t="shared" ca="1" si="15"/>
        <v>6154021.1902558384</v>
      </c>
      <c r="AX46" s="2">
        <f t="shared" ca="1" si="15"/>
        <v>6543332.7661769409</v>
      </c>
      <c r="AY46" s="2">
        <f t="shared" ca="1" si="15"/>
        <v>7089169.8470206996</v>
      </c>
      <c r="AZ46" s="2">
        <f t="shared" ca="1" si="15"/>
        <v>7614605.686689809</v>
      </c>
      <c r="BA46" s="2">
        <f t="shared" ca="1" si="15"/>
        <v>8120132.8022262035</v>
      </c>
      <c r="BB46" s="2">
        <f t="shared" ca="1" si="15"/>
        <v>8603689.9167705346</v>
      </c>
      <c r="BC46" s="2">
        <f t="shared" ca="1" si="15"/>
        <v>9238120.5546223614</v>
      </c>
      <c r="BD46" s="2">
        <f t="shared" ca="1" si="15"/>
        <v>9848740.7716176622</v>
      </c>
      <c r="BE46" s="2">
        <f t="shared" ca="1" si="15"/>
        <v>10608234.107116587</v>
      </c>
      <c r="BF46" s="2">
        <f t="shared" ca="1" si="15"/>
        <v>11307706.552829666</v>
      </c>
      <c r="BG46" s="2">
        <f t="shared" ca="1" si="15"/>
        <v>11978692.988692125</v>
      </c>
      <c r="BH46" s="2">
        <f t="shared" ca="1" si="15"/>
        <v>12793609.151186263</v>
      </c>
      <c r="BI46" s="2">
        <f t="shared" ca="1" si="15"/>
        <v>13574717.989329349</v>
      </c>
      <c r="BJ46" s="2">
        <f t="shared" ca="1" si="15"/>
        <v>14433841.141171558</v>
      </c>
      <c r="BK46" s="2">
        <f t="shared" ca="1" si="15"/>
        <v>15256015.302859072</v>
      </c>
      <c r="BL46" s="2">
        <f t="shared" ca="1" si="15"/>
        <v>16213132.24076022</v>
      </c>
      <c r="BM46" s="2">
        <f t="shared" ca="1" si="15"/>
        <v>17066686.471833006</v>
      </c>
      <c r="BN46" s="2">
        <f t="shared" ca="1" si="15"/>
        <v>18051300.70092167</v>
      </c>
      <c r="BO46" s="2">
        <f t="shared" ca="1" si="15"/>
        <v>19163435.353809442</v>
      </c>
      <c r="BP46" s="2">
        <f t="shared" ca="1" si="15"/>
        <v>20227175.78780004</v>
      </c>
      <c r="BQ46" s="2">
        <f t="shared" ca="1" si="15"/>
        <v>21413662.458797891</v>
      </c>
    </row>
    <row r="47" spans="1:69" outlineLevel="1">
      <c r="E47" s="47" t="s">
        <v>65</v>
      </c>
      <c r="G47" s="47" t="s">
        <v>257</v>
      </c>
      <c r="H47" s="2">
        <f t="shared" ref="H47:H48" ca="1" si="16" xml:space="preserve"> SUM( J47:BQ47 )</f>
        <v>68118879.460795701</v>
      </c>
      <c r="J47" s="2">
        <f t="shared" ref="J47:BQ47" ca="1" si="17" xml:space="preserve">  $F45 * J46</f>
        <v>0</v>
      </c>
      <c r="K47" s="2">
        <f t="shared" ca="1" si="17"/>
        <v>0</v>
      </c>
      <c r="L47" s="2">
        <f t="shared" ca="1" si="17"/>
        <v>0</v>
      </c>
      <c r="M47" s="2">
        <f t="shared" ca="1" si="17"/>
        <v>0</v>
      </c>
      <c r="N47" s="2">
        <f t="shared" ca="1" si="17"/>
        <v>0</v>
      </c>
      <c r="O47" s="2">
        <f t="shared" ca="1" si="17"/>
        <v>0</v>
      </c>
      <c r="P47" s="2">
        <f t="shared" ca="1" si="17"/>
        <v>36589.187229040661</v>
      </c>
      <c r="Q47" s="2">
        <f t="shared" ca="1" si="17"/>
        <v>43753.901339847973</v>
      </c>
      <c r="R47" s="2">
        <f t="shared" ca="1" si="17"/>
        <v>57753.901339847973</v>
      </c>
      <c r="S47" s="2">
        <f t="shared" ca="1" si="17"/>
        <v>57626.346259311656</v>
      </c>
      <c r="T47" s="2">
        <f t="shared" ca="1" si="17"/>
        <v>127626.34625931166</v>
      </c>
      <c r="U47" s="2">
        <f t="shared" ca="1" si="17"/>
        <v>127626.34625931166</v>
      </c>
      <c r="V47" s="2">
        <f t="shared" ca="1" si="17"/>
        <v>195002.55003690961</v>
      </c>
      <c r="W47" s="2">
        <f t="shared" ca="1" si="17"/>
        <v>250437.80227358171</v>
      </c>
      <c r="X47" s="2">
        <f t="shared" ca="1" si="17"/>
        <v>259553.3011698857</v>
      </c>
      <c r="Y47" s="2">
        <f t="shared" ca="1" si="17"/>
        <v>325438.66699015221</v>
      </c>
      <c r="Z47" s="2">
        <f t="shared" ca="1" si="17"/>
        <v>323302.44819209684</v>
      </c>
      <c r="AA47" s="2">
        <f t="shared" ca="1" si="17"/>
        <v>319968.75244756829</v>
      </c>
      <c r="AB47" s="2">
        <f t="shared" ca="1" si="17"/>
        <v>316300.02112305979</v>
      </c>
      <c r="AC47" s="2">
        <f t="shared" ca="1" si="17"/>
        <v>312558.07416921604</v>
      </c>
      <c r="AD47" s="2">
        <f t="shared" ca="1" si="17"/>
        <v>308593.61947056837</v>
      </c>
      <c r="AE47" s="2">
        <f t="shared" ca="1" si="17"/>
        <v>339252.84915417666</v>
      </c>
      <c r="AF47" s="2">
        <f t="shared" ca="1" si="17"/>
        <v>369802.89921270288</v>
      </c>
      <c r="AG47" s="2">
        <f t="shared" ca="1" si="17"/>
        <v>400088.34147796518</v>
      </c>
      <c r="AH47" s="2">
        <f t="shared" ca="1" si="17"/>
        <v>450394.57393179298</v>
      </c>
      <c r="AI47" s="2">
        <f t="shared" ca="1" si="17"/>
        <v>473102.66179998638</v>
      </c>
      <c r="AJ47" s="2">
        <f t="shared" ca="1" si="17"/>
        <v>530496.07619774516</v>
      </c>
      <c r="AK47" s="2">
        <f t="shared" ca="1" si="17"/>
        <v>552409.12736153218</v>
      </c>
      <c r="AL47" s="2">
        <f t="shared" ca="1" si="17"/>
        <v>579995.94780241873</v>
      </c>
      <c r="AM47" s="2">
        <f t="shared" ca="1" si="17"/>
        <v>622328.55631336151</v>
      </c>
      <c r="AN47" s="2">
        <f t="shared" ca="1" si="17"/>
        <v>664114.15241892904</v>
      </c>
      <c r="AO47" s="2">
        <f t="shared" ca="1" si="17"/>
        <v>676510.25851124153</v>
      </c>
      <c r="AP47" s="2">
        <f t="shared" ca="1" si="17"/>
        <v>738581.34911394631</v>
      </c>
      <c r="AQ47" s="2">
        <f t="shared" ca="1" si="17"/>
        <v>765026.36670196126</v>
      </c>
      <c r="AR47" s="2">
        <f t="shared" ca="1" si="17"/>
        <v>826126.46681901382</v>
      </c>
      <c r="AS47" s="2">
        <f t="shared" ca="1" si="17"/>
        <v>886697.35134953842</v>
      </c>
      <c r="AT47" s="2">
        <f t="shared" ca="1" si="17"/>
        <v>977225.85271679226</v>
      </c>
      <c r="AU47" s="2">
        <f t="shared" ca="1" si="17"/>
        <v>1029974.496303038</v>
      </c>
      <c r="AV47" s="2">
        <f t="shared" ca="1" si="17"/>
        <v>1114616.1125524517</v>
      </c>
      <c r="AW47" s="2">
        <f t="shared" ca="1" si="17"/>
        <v>1230804.2380511677</v>
      </c>
      <c r="AX47" s="2">
        <f t="shared" ca="1" si="17"/>
        <v>1308666.5532353884</v>
      </c>
      <c r="AY47" s="2">
        <f t="shared" ca="1" si="17"/>
        <v>1417833.96940414</v>
      </c>
      <c r="AZ47" s="2">
        <f t="shared" ca="1" si="17"/>
        <v>1522921.1373379619</v>
      </c>
      <c r="BA47" s="2">
        <f t="shared" ca="1" si="17"/>
        <v>1624026.5604452407</v>
      </c>
      <c r="BB47" s="2">
        <f t="shared" ca="1" si="17"/>
        <v>1720737.983354107</v>
      </c>
      <c r="BC47" s="2">
        <f t="shared" ca="1" si="17"/>
        <v>1847624.1109244723</v>
      </c>
      <c r="BD47" s="2">
        <f t="shared" ca="1" si="17"/>
        <v>1969748.1543235325</v>
      </c>
      <c r="BE47" s="2">
        <f t="shared" ca="1" si="17"/>
        <v>2121646.8214233178</v>
      </c>
      <c r="BF47" s="2">
        <f t="shared" ca="1" si="17"/>
        <v>2261541.3105659331</v>
      </c>
      <c r="BG47" s="2">
        <f t="shared" ca="1" si="17"/>
        <v>2395738.5977384252</v>
      </c>
      <c r="BH47" s="2">
        <f t="shared" ca="1" si="17"/>
        <v>2558721.8302372526</v>
      </c>
      <c r="BI47" s="2">
        <f t="shared" ca="1" si="17"/>
        <v>2714943.5978658702</v>
      </c>
      <c r="BJ47" s="2">
        <f t="shared" ca="1" si="17"/>
        <v>2886768.2282343116</v>
      </c>
      <c r="BK47" s="2">
        <f t="shared" ca="1" si="17"/>
        <v>3051203.0605718144</v>
      </c>
      <c r="BL47" s="2">
        <f t="shared" ca="1" si="17"/>
        <v>3242626.4481520443</v>
      </c>
      <c r="BM47" s="2">
        <f t="shared" ca="1" si="17"/>
        <v>3413337.2943666014</v>
      </c>
      <c r="BN47" s="2">
        <f t="shared" ca="1" si="17"/>
        <v>3610260.140184334</v>
      </c>
      <c r="BO47" s="2">
        <f t="shared" ca="1" si="17"/>
        <v>3832687.0707618888</v>
      </c>
      <c r="BP47" s="2">
        <f t="shared" ca="1" si="17"/>
        <v>4045435.1575600081</v>
      </c>
      <c r="BQ47" s="2">
        <f t="shared" ca="1" si="17"/>
        <v>4282732.4917595787</v>
      </c>
    </row>
    <row r="48" spans="1:69" outlineLevel="1">
      <c r="A48" s="34"/>
      <c r="B48" s="34"/>
      <c r="C48" s="64"/>
      <c r="D48" s="65"/>
      <c r="E48" s="21" t="str">
        <f xml:space="preserve"> LEFT($E$47, LEN($E$47) - 3 )</f>
        <v xml:space="preserve">Corporation tax </v>
      </c>
      <c r="F48" s="21"/>
      <c r="G48" s="21" t="str">
        <f xml:space="preserve"> G$47</f>
        <v>GBP</v>
      </c>
      <c r="H48" s="3">
        <f t="shared" ca="1" si="16"/>
        <v>-68118879.460795701</v>
      </c>
      <c r="I48" s="21"/>
      <c r="J48" s="3">
        <f t="shared" ref="J48:BQ48" ca="1" si="18" xml:space="preserve"> -1 * J47</f>
        <v>0</v>
      </c>
      <c r="K48" s="3">
        <f t="shared" ca="1" si="18"/>
        <v>0</v>
      </c>
      <c r="L48" s="3">
        <f t="shared" ca="1" si="18"/>
        <v>0</v>
      </c>
      <c r="M48" s="3">
        <f t="shared" ca="1" si="18"/>
        <v>0</v>
      </c>
      <c r="N48" s="3">
        <f t="shared" ca="1" si="18"/>
        <v>0</v>
      </c>
      <c r="O48" s="3">
        <f t="shared" ca="1" si="18"/>
        <v>0</v>
      </c>
      <c r="P48" s="3">
        <f t="shared" ca="1" si="18"/>
        <v>-36589.187229040661</v>
      </c>
      <c r="Q48" s="3">
        <f t="shared" ca="1" si="18"/>
        <v>-43753.901339847973</v>
      </c>
      <c r="R48" s="3">
        <f t="shared" ca="1" si="18"/>
        <v>-57753.901339847973</v>
      </c>
      <c r="S48" s="3">
        <f t="shared" ca="1" si="18"/>
        <v>-57626.346259311656</v>
      </c>
      <c r="T48" s="3">
        <f t="shared" ca="1" si="18"/>
        <v>-127626.34625931166</v>
      </c>
      <c r="U48" s="3">
        <f t="shared" ca="1" si="18"/>
        <v>-127626.34625931166</v>
      </c>
      <c r="V48" s="3">
        <f t="shared" ca="1" si="18"/>
        <v>-195002.55003690961</v>
      </c>
      <c r="W48" s="3">
        <f t="shared" ca="1" si="18"/>
        <v>-250437.80227358171</v>
      </c>
      <c r="X48" s="3">
        <f t="shared" ca="1" si="18"/>
        <v>-259553.3011698857</v>
      </c>
      <c r="Y48" s="3">
        <f t="shared" ca="1" si="18"/>
        <v>-325438.66699015221</v>
      </c>
      <c r="Z48" s="3">
        <f t="shared" ca="1" si="18"/>
        <v>-323302.44819209684</v>
      </c>
      <c r="AA48" s="3">
        <f t="shared" ca="1" si="18"/>
        <v>-319968.75244756829</v>
      </c>
      <c r="AB48" s="3">
        <f t="shared" ca="1" si="18"/>
        <v>-316300.02112305979</v>
      </c>
      <c r="AC48" s="3">
        <f t="shared" ca="1" si="18"/>
        <v>-312558.07416921604</v>
      </c>
      <c r="AD48" s="3">
        <f t="shared" ca="1" si="18"/>
        <v>-308593.61947056837</v>
      </c>
      <c r="AE48" s="3">
        <f t="shared" ca="1" si="18"/>
        <v>-339252.84915417666</v>
      </c>
      <c r="AF48" s="3">
        <f t="shared" ca="1" si="18"/>
        <v>-369802.89921270288</v>
      </c>
      <c r="AG48" s="3">
        <f t="shared" ca="1" si="18"/>
        <v>-400088.34147796518</v>
      </c>
      <c r="AH48" s="3">
        <f t="shared" ca="1" si="18"/>
        <v>-450394.57393179298</v>
      </c>
      <c r="AI48" s="3">
        <f t="shared" ca="1" si="18"/>
        <v>-473102.66179998638</v>
      </c>
      <c r="AJ48" s="3">
        <f t="shared" ca="1" si="18"/>
        <v>-530496.07619774516</v>
      </c>
      <c r="AK48" s="3">
        <f t="shared" ca="1" si="18"/>
        <v>-552409.12736153218</v>
      </c>
      <c r="AL48" s="3">
        <f t="shared" ca="1" si="18"/>
        <v>-579995.94780241873</v>
      </c>
      <c r="AM48" s="3">
        <f t="shared" ca="1" si="18"/>
        <v>-622328.55631336151</v>
      </c>
      <c r="AN48" s="3">
        <f t="shared" ca="1" si="18"/>
        <v>-664114.15241892904</v>
      </c>
      <c r="AO48" s="3">
        <f t="shared" ca="1" si="18"/>
        <v>-676510.25851124153</v>
      </c>
      <c r="AP48" s="3">
        <f t="shared" ca="1" si="18"/>
        <v>-738581.34911394631</v>
      </c>
      <c r="AQ48" s="3">
        <f t="shared" ca="1" si="18"/>
        <v>-765026.36670196126</v>
      </c>
      <c r="AR48" s="3">
        <f t="shared" ca="1" si="18"/>
        <v>-826126.46681901382</v>
      </c>
      <c r="AS48" s="3">
        <f t="shared" ca="1" si="18"/>
        <v>-886697.35134953842</v>
      </c>
      <c r="AT48" s="3">
        <f t="shared" ca="1" si="18"/>
        <v>-977225.85271679226</v>
      </c>
      <c r="AU48" s="3">
        <f t="shared" ca="1" si="18"/>
        <v>-1029974.496303038</v>
      </c>
      <c r="AV48" s="3">
        <f t="shared" ca="1" si="18"/>
        <v>-1114616.1125524517</v>
      </c>
      <c r="AW48" s="3">
        <f t="shared" ca="1" si="18"/>
        <v>-1230804.2380511677</v>
      </c>
      <c r="AX48" s="3">
        <f t="shared" ca="1" si="18"/>
        <v>-1308666.5532353884</v>
      </c>
      <c r="AY48" s="3">
        <f t="shared" ca="1" si="18"/>
        <v>-1417833.96940414</v>
      </c>
      <c r="AZ48" s="3">
        <f t="shared" ca="1" si="18"/>
        <v>-1522921.1373379619</v>
      </c>
      <c r="BA48" s="3">
        <f t="shared" ca="1" si="18"/>
        <v>-1624026.5604452407</v>
      </c>
      <c r="BB48" s="3">
        <f t="shared" ca="1" si="18"/>
        <v>-1720737.983354107</v>
      </c>
      <c r="BC48" s="3">
        <f t="shared" ca="1" si="18"/>
        <v>-1847624.1109244723</v>
      </c>
      <c r="BD48" s="3">
        <f t="shared" ca="1" si="18"/>
        <v>-1969748.1543235325</v>
      </c>
      <c r="BE48" s="3">
        <f t="shared" ca="1" si="18"/>
        <v>-2121646.8214233178</v>
      </c>
      <c r="BF48" s="3">
        <f t="shared" ca="1" si="18"/>
        <v>-2261541.3105659331</v>
      </c>
      <c r="BG48" s="3">
        <f t="shared" ca="1" si="18"/>
        <v>-2395738.5977384252</v>
      </c>
      <c r="BH48" s="3">
        <f t="shared" ca="1" si="18"/>
        <v>-2558721.8302372526</v>
      </c>
      <c r="BI48" s="3">
        <f t="shared" ca="1" si="18"/>
        <v>-2714943.5978658702</v>
      </c>
      <c r="BJ48" s="3">
        <f t="shared" ca="1" si="18"/>
        <v>-2886768.2282343116</v>
      </c>
      <c r="BK48" s="3">
        <f t="shared" ca="1" si="18"/>
        <v>-3051203.0605718144</v>
      </c>
      <c r="BL48" s="3">
        <f t="shared" ca="1" si="18"/>
        <v>-3242626.4481520443</v>
      </c>
      <c r="BM48" s="3">
        <f t="shared" ca="1" si="18"/>
        <v>-3413337.2943666014</v>
      </c>
      <c r="BN48" s="3">
        <f t="shared" ca="1" si="18"/>
        <v>-3610260.140184334</v>
      </c>
      <c r="BO48" s="3">
        <f t="shared" ca="1" si="18"/>
        <v>-3832687.0707618888</v>
      </c>
      <c r="BP48" s="3">
        <f t="shared" ca="1" si="18"/>
        <v>-4045435.1575600081</v>
      </c>
      <c r="BQ48" s="3">
        <f t="shared" ca="1" si="18"/>
        <v>-4282732.4917595787</v>
      </c>
    </row>
    <row r="51" spans="1:69">
      <c r="B51" s="25" t="s">
        <v>225</v>
      </c>
    </row>
    <row r="52" spans="1:69" outlineLevel="1">
      <c r="A52" s="18"/>
      <c r="B52" s="18"/>
      <c r="C52" s="28"/>
      <c r="D52" s="27"/>
      <c r="E52" s="4" t="str">
        <f xml:space="preserve">  InpC!E$92</f>
        <v>Month corporation tax paid</v>
      </c>
      <c r="F52" s="4">
        <f xml:space="preserve">  InpC!F$92</f>
        <v>8</v>
      </c>
      <c r="G52" s="4">
        <f xml:space="preserve">  InpC!G$92</f>
        <v>0</v>
      </c>
      <c r="M52" s="2"/>
    </row>
    <row r="53" spans="1:69" outlineLevel="1">
      <c r="A53" s="18"/>
      <c r="B53" s="18"/>
      <c r="C53" s="28"/>
      <c r="D53" s="27"/>
      <c r="E53" s="20" t="str">
        <f xml:space="preserve">  Time!E$12</f>
        <v>Model period start</v>
      </c>
      <c r="F53" s="20">
        <f xml:space="preserve">  Time!F$12</f>
        <v>0</v>
      </c>
      <c r="G53" s="20" t="str">
        <f xml:space="preserve">  Time!G$12</f>
        <v>date</v>
      </c>
      <c r="H53" s="20">
        <f xml:space="preserve">  Time!H$12</f>
        <v>0</v>
      </c>
      <c r="I53" s="20">
        <f xml:space="preserve">  Time!I$12</f>
        <v>0</v>
      </c>
      <c r="J53" s="20">
        <f xml:space="preserve">  Time!J$12</f>
        <v>45047</v>
      </c>
      <c r="K53" s="20">
        <f xml:space="preserve">  Time!K$12</f>
        <v>45078</v>
      </c>
      <c r="L53" s="20">
        <f xml:space="preserve">  Time!L$12</f>
        <v>45108</v>
      </c>
      <c r="M53" s="20">
        <f xml:space="preserve">  Time!M$12</f>
        <v>45139</v>
      </c>
      <c r="N53" s="20">
        <f xml:space="preserve">  Time!N$12</f>
        <v>45170</v>
      </c>
      <c r="O53" s="20">
        <f xml:space="preserve">  Time!O$12</f>
        <v>45200</v>
      </c>
      <c r="P53" s="20">
        <f xml:space="preserve">  Time!P$12</f>
        <v>45231</v>
      </c>
      <c r="Q53" s="20">
        <f xml:space="preserve">  Time!Q$12</f>
        <v>45261</v>
      </c>
      <c r="R53" s="20">
        <f xml:space="preserve">  Time!R$12</f>
        <v>45292</v>
      </c>
      <c r="S53" s="20">
        <f xml:space="preserve">  Time!S$12</f>
        <v>45323</v>
      </c>
      <c r="T53" s="20">
        <f xml:space="preserve">  Time!T$12</f>
        <v>45352</v>
      </c>
      <c r="U53" s="20">
        <f xml:space="preserve">  Time!U$12</f>
        <v>45383</v>
      </c>
      <c r="V53" s="20">
        <f xml:space="preserve">  Time!V$12</f>
        <v>45413</v>
      </c>
      <c r="W53" s="20">
        <f xml:space="preserve">  Time!W$12</f>
        <v>45444</v>
      </c>
      <c r="X53" s="20">
        <f xml:space="preserve">  Time!X$12</f>
        <v>45474</v>
      </c>
      <c r="Y53" s="20">
        <f xml:space="preserve">  Time!Y$12</f>
        <v>45505</v>
      </c>
      <c r="Z53" s="20">
        <f xml:space="preserve">  Time!Z$12</f>
        <v>45536</v>
      </c>
      <c r="AA53" s="20">
        <f xml:space="preserve">  Time!AA$12</f>
        <v>45566</v>
      </c>
      <c r="AB53" s="20">
        <f xml:space="preserve">  Time!AB$12</f>
        <v>45597</v>
      </c>
      <c r="AC53" s="20">
        <f xml:space="preserve">  Time!AC$12</f>
        <v>45627</v>
      </c>
      <c r="AD53" s="20">
        <f xml:space="preserve">  Time!AD$12</f>
        <v>45658</v>
      </c>
      <c r="AE53" s="20">
        <f xml:space="preserve">  Time!AE$12</f>
        <v>45689</v>
      </c>
      <c r="AF53" s="20">
        <f xml:space="preserve">  Time!AF$12</f>
        <v>45717</v>
      </c>
      <c r="AG53" s="20">
        <f xml:space="preserve">  Time!AG$12</f>
        <v>45748</v>
      </c>
      <c r="AH53" s="20">
        <f xml:space="preserve">  Time!AH$12</f>
        <v>45778</v>
      </c>
      <c r="AI53" s="20">
        <f xml:space="preserve">  Time!AI$12</f>
        <v>45809</v>
      </c>
      <c r="AJ53" s="20">
        <f xml:space="preserve">  Time!AJ$12</f>
        <v>45839</v>
      </c>
      <c r="AK53" s="20">
        <f xml:space="preserve">  Time!AK$12</f>
        <v>45870</v>
      </c>
      <c r="AL53" s="20">
        <f xml:space="preserve">  Time!AL$12</f>
        <v>45901</v>
      </c>
      <c r="AM53" s="20">
        <f xml:space="preserve">  Time!AM$12</f>
        <v>45931</v>
      </c>
      <c r="AN53" s="20">
        <f xml:space="preserve">  Time!AN$12</f>
        <v>45962</v>
      </c>
      <c r="AO53" s="20">
        <f xml:space="preserve">  Time!AO$12</f>
        <v>45992</v>
      </c>
      <c r="AP53" s="20">
        <f xml:space="preserve">  Time!AP$12</f>
        <v>46023</v>
      </c>
      <c r="AQ53" s="20">
        <f xml:space="preserve">  Time!AQ$12</f>
        <v>46054</v>
      </c>
      <c r="AR53" s="20">
        <f xml:space="preserve">  Time!AR$12</f>
        <v>46082</v>
      </c>
      <c r="AS53" s="20">
        <f xml:space="preserve">  Time!AS$12</f>
        <v>46113</v>
      </c>
      <c r="AT53" s="20">
        <f xml:space="preserve">  Time!AT$12</f>
        <v>46143</v>
      </c>
      <c r="AU53" s="20">
        <f xml:space="preserve">  Time!AU$12</f>
        <v>46174</v>
      </c>
      <c r="AV53" s="20">
        <f xml:space="preserve">  Time!AV$12</f>
        <v>46204</v>
      </c>
      <c r="AW53" s="20">
        <f xml:space="preserve">  Time!AW$12</f>
        <v>46235</v>
      </c>
      <c r="AX53" s="20">
        <f xml:space="preserve">  Time!AX$12</f>
        <v>46266</v>
      </c>
      <c r="AY53" s="20">
        <f xml:space="preserve">  Time!AY$12</f>
        <v>46296</v>
      </c>
      <c r="AZ53" s="20">
        <f xml:space="preserve">  Time!AZ$12</f>
        <v>46327</v>
      </c>
      <c r="BA53" s="20">
        <f xml:space="preserve">  Time!BA$12</f>
        <v>46357</v>
      </c>
      <c r="BB53" s="20">
        <f xml:space="preserve">  Time!BB$12</f>
        <v>46388</v>
      </c>
      <c r="BC53" s="20">
        <f xml:space="preserve">  Time!BC$12</f>
        <v>46419</v>
      </c>
      <c r="BD53" s="20">
        <f xml:space="preserve">  Time!BD$12</f>
        <v>46447</v>
      </c>
      <c r="BE53" s="20">
        <f xml:space="preserve">  Time!BE$12</f>
        <v>46478</v>
      </c>
      <c r="BF53" s="20">
        <f xml:space="preserve">  Time!BF$12</f>
        <v>46508</v>
      </c>
      <c r="BG53" s="20">
        <f xml:space="preserve">  Time!BG$12</f>
        <v>46539</v>
      </c>
      <c r="BH53" s="20">
        <f xml:space="preserve">  Time!BH$12</f>
        <v>46569</v>
      </c>
      <c r="BI53" s="20">
        <f xml:space="preserve">  Time!BI$12</f>
        <v>46600</v>
      </c>
      <c r="BJ53" s="20">
        <f xml:space="preserve">  Time!BJ$12</f>
        <v>46631</v>
      </c>
      <c r="BK53" s="20">
        <f xml:space="preserve">  Time!BK$12</f>
        <v>46661</v>
      </c>
      <c r="BL53" s="20">
        <f xml:space="preserve">  Time!BL$12</f>
        <v>46692</v>
      </c>
      <c r="BM53" s="20">
        <f xml:space="preserve">  Time!BM$12</f>
        <v>46722</v>
      </c>
      <c r="BN53" s="20">
        <f xml:space="preserve">  Time!BN$12</f>
        <v>46753</v>
      </c>
      <c r="BO53" s="20">
        <f xml:space="preserve">  Time!BO$12</f>
        <v>46784</v>
      </c>
      <c r="BP53" s="20">
        <f xml:space="preserve">  Time!BP$12</f>
        <v>46813</v>
      </c>
      <c r="BQ53" s="20">
        <f xml:space="preserve">  Time!BQ$12</f>
        <v>46844</v>
      </c>
    </row>
    <row r="54" spans="1:69" outlineLevel="1">
      <c r="E54" s="47" t="s">
        <v>225</v>
      </c>
      <c r="G54" s="47" t="s">
        <v>214</v>
      </c>
      <c r="J54" s="8">
        <f t="shared" ref="J54:BQ54" si="19" xml:space="preserve">  IF( MONTH( J53 ) &gt; $F52, DATE( YEAR( J53 ) + 1, $F52, 1 ), DATE( YEAR( J53 ), $F52, 1 ) )</f>
        <v>45139</v>
      </c>
      <c r="K54" s="8">
        <f t="shared" si="19"/>
        <v>45139</v>
      </c>
      <c r="L54" s="8">
        <f t="shared" si="19"/>
        <v>45139</v>
      </c>
      <c r="M54" s="8">
        <f t="shared" si="19"/>
        <v>45139</v>
      </c>
      <c r="N54" s="8">
        <f t="shared" si="19"/>
        <v>45505</v>
      </c>
      <c r="O54" s="8">
        <f t="shared" si="19"/>
        <v>45505</v>
      </c>
      <c r="P54" s="8">
        <f t="shared" si="19"/>
        <v>45505</v>
      </c>
      <c r="Q54" s="8">
        <f t="shared" si="19"/>
        <v>45505</v>
      </c>
      <c r="R54" s="8">
        <f t="shared" si="19"/>
        <v>45505</v>
      </c>
      <c r="S54" s="8">
        <f t="shared" si="19"/>
        <v>45505</v>
      </c>
      <c r="T54" s="8">
        <f t="shared" si="19"/>
        <v>45505</v>
      </c>
      <c r="U54" s="8">
        <f t="shared" si="19"/>
        <v>45505</v>
      </c>
      <c r="V54" s="8">
        <f t="shared" si="19"/>
        <v>45505</v>
      </c>
      <c r="W54" s="8">
        <f t="shared" si="19"/>
        <v>45505</v>
      </c>
      <c r="X54" s="8">
        <f t="shared" si="19"/>
        <v>45505</v>
      </c>
      <c r="Y54" s="8">
        <f t="shared" si="19"/>
        <v>45505</v>
      </c>
      <c r="Z54" s="8">
        <f t="shared" si="19"/>
        <v>45870</v>
      </c>
      <c r="AA54" s="8">
        <f t="shared" si="19"/>
        <v>45870</v>
      </c>
      <c r="AB54" s="8">
        <f t="shared" si="19"/>
        <v>45870</v>
      </c>
      <c r="AC54" s="8">
        <f t="shared" si="19"/>
        <v>45870</v>
      </c>
      <c r="AD54" s="8">
        <f t="shared" si="19"/>
        <v>45870</v>
      </c>
      <c r="AE54" s="8">
        <f t="shared" si="19"/>
        <v>45870</v>
      </c>
      <c r="AF54" s="8">
        <f t="shared" si="19"/>
        <v>45870</v>
      </c>
      <c r="AG54" s="8">
        <f t="shared" si="19"/>
        <v>45870</v>
      </c>
      <c r="AH54" s="8">
        <f t="shared" si="19"/>
        <v>45870</v>
      </c>
      <c r="AI54" s="8">
        <f t="shared" si="19"/>
        <v>45870</v>
      </c>
      <c r="AJ54" s="8">
        <f t="shared" si="19"/>
        <v>45870</v>
      </c>
      <c r="AK54" s="8">
        <f t="shared" si="19"/>
        <v>45870</v>
      </c>
      <c r="AL54" s="8">
        <f t="shared" si="19"/>
        <v>46235</v>
      </c>
      <c r="AM54" s="8">
        <f t="shared" si="19"/>
        <v>46235</v>
      </c>
      <c r="AN54" s="8">
        <f t="shared" si="19"/>
        <v>46235</v>
      </c>
      <c r="AO54" s="8">
        <f t="shared" si="19"/>
        <v>46235</v>
      </c>
      <c r="AP54" s="8">
        <f t="shared" si="19"/>
        <v>46235</v>
      </c>
      <c r="AQ54" s="8">
        <f t="shared" si="19"/>
        <v>46235</v>
      </c>
      <c r="AR54" s="8">
        <f t="shared" si="19"/>
        <v>46235</v>
      </c>
      <c r="AS54" s="8">
        <f t="shared" si="19"/>
        <v>46235</v>
      </c>
      <c r="AT54" s="8">
        <f t="shared" si="19"/>
        <v>46235</v>
      </c>
      <c r="AU54" s="8">
        <f t="shared" si="19"/>
        <v>46235</v>
      </c>
      <c r="AV54" s="8">
        <f t="shared" si="19"/>
        <v>46235</v>
      </c>
      <c r="AW54" s="8">
        <f t="shared" si="19"/>
        <v>46235</v>
      </c>
      <c r="AX54" s="8">
        <f t="shared" si="19"/>
        <v>46600</v>
      </c>
      <c r="AY54" s="8">
        <f t="shared" si="19"/>
        <v>46600</v>
      </c>
      <c r="AZ54" s="8">
        <f t="shared" si="19"/>
        <v>46600</v>
      </c>
      <c r="BA54" s="8">
        <f t="shared" si="19"/>
        <v>46600</v>
      </c>
      <c r="BB54" s="8">
        <f t="shared" si="19"/>
        <v>46600</v>
      </c>
      <c r="BC54" s="8">
        <f t="shared" si="19"/>
        <v>46600</v>
      </c>
      <c r="BD54" s="8">
        <f t="shared" si="19"/>
        <v>46600</v>
      </c>
      <c r="BE54" s="8">
        <f t="shared" si="19"/>
        <v>46600</v>
      </c>
      <c r="BF54" s="8">
        <f t="shared" si="19"/>
        <v>46600</v>
      </c>
      <c r="BG54" s="8">
        <f t="shared" si="19"/>
        <v>46600</v>
      </c>
      <c r="BH54" s="8">
        <f t="shared" si="19"/>
        <v>46600</v>
      </c>
      <c r="BI54" s="8">
        <f t="shared" si="19"/>
        <v>46600</v>
      </c>
      <c r="BJ54" s="8">
        <f t="shared" si="19"/>
        <v>46966</v>
      </c>
      <c r="BK54" s="8">
        <f t="shared" si="19"/>
        <v>46966</v>
      </c>
      <c r="BL54" s="8">
        <f t="shared" si="19"/>
        <v>46966</v>
      </c>
      <c r="BM54" s="8">
        <f t="shared" si="19"/>
        <v>46966</v>
      </c>
      <c r="BN54" s="8">
        <f t="shared" si="19"/>
        <v>46966</v>
      </c>
      <c r="BO54" s="8">
        <f t="shared" si="19"/>
        <v>46966</v>
      </c>
      <c r="BP54" s="8">
        <f t="shared" si="19"/>
        <v>46966</v>
      </c>
      <c r="BQ54" s="8">
        <f t="shared" si="19"/>
        <v>46966</v>
      </c>
    </row>
    <row r="57" spans="1:69">
      <c r="B57" s="25" t="s">
        <v>37</v>
      </c>
    </row>
    <row r="58" spans="1:69" outlineLevel="1">
      <c r="E58" s="8" t="str">
        <f t="shared" ref="E58:BQ58" si="20" xml:space="preserve">  E$54</f>
        <v>Date corporation tax paid this year</v>
      </c>
      <c r="F58" s="8">
        <f t="shared" si="20"/>
        <v>0</v>
      </c>
      <c r="G58" s="8" t="str">
        <f t="shared" si="20"/>
        <v>date</v>
      </c>
      <c r="H58" s="8">
        <f t="shared" si="20"/>
        <v>0</v>
      </c>
      <c r="I58" s="8">
        <f t="shared" si="20"/>
        <v>0</v>
      </c>
      <c r="J58" s="8">
        <f t="shared" si="20"/>
        <v>45139</v>
      </c>
      <c r="K58" s="8">
        <f t="shared" si="20"/>
        <v>45139</v>
      </c>
      <c r="L58" s="8">
        <f t="shared" si="20"/>
        <v>45139</v>
      </c>
      <c r="M58" s="8">
        <f t="shared" si="20"/>
        <v>45139</v>
      </c>
      <c r="N58" s="8">
        <f t="shared" si="20"/>
        <v>45505</v>
      </c>
      <c r="O58" s="8">
        <f t="shared" si="20"/>
        <v>45505</v>
      </c>
      <c r="P58" s="8">
        <f t="shared" si="20"/>
        <v>45505</v>
      </c>
      <c r="Q58" s="8">
        <f t="shared" si="20"/>
        <v>45505</v>
      </c>
      <c r="R58" s="8">
        <f t="shared" si="20"/>
        <v>45505</v>
      </c>
      <c r="S58" s="8">
        <f t="shared" si="20"/>
        <v>45505</v>
      </c>
      <c r="T58" s="8">
        <f t="shared" si="20"/>
        <v>45505</v>
      </c>
      <c r="U58" s="8">
        <f t="shared" si="20"/>
        <v>45505</v>
      </c>
      <c r="V58" s="8">
        <f t="shared" si="20"/>
        <v>45505</v>
      </c>
      <c r="W58" s="8">
        <f t="shared" si="20"/>
        <v>45505</v>
      </c>
      <c r="X58" s="8">
        <f t="shared" si="20"/>
        <v>45505</v>
      </c>
      <c r="Y58" s="8">
        <f t="shared" si="20"/>
        <v>45505</v>
      </c>
      <c r="Z58" s="8">
        <f t="shared" si="20"/>
        <v>45870</v>
      </c>
      <c r="AA58" s="8">
        <f t="shared" si="20"/>
        <v>45870</v>
      </c>
      <c r="AB58" s="8">
        <f t="shared" si="20"/>
        <v>45870</v>
      </c>
      <c r="AC58" s="8">
        <f t="shared" si="20"/>
        <v>45870</v>
      </c>
      <c r="AD58" s="8">
        <f t="shared" si="20"/>
        <v>45870</v>
      </c>
      <c r="AE58" s="8">
        <f t="shared" si="20"/>
        <v>45870</v>
      </c>
      <c r="AF58" s="8">
        <f t="shared" si="20"/>
        <v>45870</v>
      </c>
      <c r="AG58" s="8">
        <f t="shared" si="20"/>
        <v>45870</v>
      </c>
      <c r="AH58" s="8">
        <f t="shared" si="20"/>
        <v>45870</v>
      </c>
      <c r="AI58" s="8">
        <f t="shared" si="20"/>
        <v>45870</v>
      </c>
      <c r="AJ58" s="8">
        <f t="shared" si="20"/>
        <v>45870</v>
      </c>
      <c r="AK58" s="8">
        <f t="shared" si="20"/>
        <v>45870</v>
      </c>
      <c r="AL58" s="8">
        <f t="shared" si="20"/>
        <v>46235</v>
      </c>
      <c r="AM58" s="8">
        <f t="shared" si="20"/>
        <v>46235</v>
      </c>
      <c r="AN58" s="8">
        <f t="shared" si="20"/>
        <v>46235</v>
      </c>
      <c r="AO58" s="8">
        <f t="shared" si="20"/>
        <v>46235</v>
      </c>
      <c r="AP58" s="8">
        <f t="shared" si="20"/>
        <v>46235</v>
      </c>
      <c r="AQ58" s="8">
        <f t="shared" si="20"/>
        <v>46235</v>
      </c>
      <c r="AR58" s="8">
        <f t="shared" si="20"/>
        <v>46235</v>
      </c>
      <c r="AS58" s="8">
        <f t="shared" si="20"/>
        <v>46235</v>
      </c>
      <c r="AT58" s="8">
        <f t="shared" si="20"/>
        <v>46235</v>
      </c>
      <c r="AU58" s="8">
        <f t="shared" si="20"/>
        <v>46235</v>
      </c>
      <c r="AV58" s="8">
        <f t="shared" si="20"/>
        <v>46235</v>
      </c>
      <c r="AW58" s="8">
        <f t="shared" si="20"/>
        <v>46235</v>
      </c>
      <c r="AX58" s="8">
        <f t="shared" si="20"/>
        <v>46600</v>
      </c>
      <c r="AY58" s="8">
        <f t="shared" si="20"/>
        <v>46600</v>
      </c>
      <c r="AZ58" s="8">
        <f t="shared" si="20"/>
        <v>46600</v>
      </c>
      <c r="BA58" s="8">
        <f t="shared" si="20"/>
        <v>46600</v>
      </c>
      <c r="BB58" s="8">
        <f t="shared" si="20"/>
        <v>46600</v>
      </c>
      <c r="BC58" s="8">
        <f t="shared" si="20"/>
        <v>46600</v>
      </c>
      <c r="BD58" s="8">
        <f t="shared" si="20"/>
        <v>46600</v>
      </c>
      <c r="BE58" s="8">
        <f t="shared" si="20"/>
        <v>46600</v>
      </c>
      <c r="BF58" s="8">
        <f t="shared" si="20"/>
        <v>46600</v>
      </c>
      <c r="BG58" s="8">
        <f t="shared" si="20"/>
        <v>46600</v>
      </c>
      <c r="BH58" s="8">
        <f t="shared" si="20"/>
        <v>46600</v>
      </c>
      <c r="BI58" s="8">
        <f t="shared" si="20"/>
        <v>46600</v>
      </c>
      <c r="BJ58" s="8">
        <f t="shared" si="20"/>
        <v>46966</v>
      </c>
      <c r="BK58" s="8">
        <f t="shared" si="20"/>
        <v>46966</v>
      </c>
      <c r="BL58" s="8">
        <f t="shared" si="20"/>
        <v>46966</v>
      </c>
      <c r="BM58" s="8">
        <f t="shared" si="20"/>
        <v>46966</v>
      </c>
      <c r="BN58" s="8">
        <f t="shared" si="20"/>
        <v>46966</v>
      </c>
      <c r="BO58" s="8">
        <f t="shared" si="20"/>
        <v>46966</v>
      </c>
      <c r="BP58" s="8">
        <f t="shared" si="20"/>
        <v>46966</v>
      </c>
      <c r="BQ58" s="8">
        <f t="shared" si="20"/>
        <v>46966</v>
      </c>
    </row>
    <row r="59" spans="1:69" outlineLevel="1">
      <c r="A59" s="18"/>
      <c r="B59" s="18"/>
      <c r="C59" s="28"/>
      <c r="D59" s="27"/>
      <c r="E59" s="20" t="str">
        <f xml:space="preserve">  Time!E$12</f>
        <v>Model period start</v>
      </c>
      <c r="F59" s="20">
        <f xml:space="preserve">  Time!F$12</f>
        <v>0</v>
      </c>
      <c r="G59" s="20" t="str">
        <f xml:space="preserve">  Time!G$12</f>
        <v>date</v>
      </c>
      <c r="H59" s="20">
        <f xml:space="preserve">  Time!H$12</f>
        <v>0</v>
      </c>
      <c r="I59" s="20">
        <f xml:space="preserve">  Time!I$12</f>
        <v>0</v>
      </c>
      <c r="J59" s="20">
        <f xml:space="preserve">  Time!J$12</f>
        <v>45047</v>
      </c>
      <c r="K59" s="20">
        <f xml:space="preserve">  Time!K$12</f>
        <v>45078</v>
      </c>
      <c r="L59" s="20">
        <f xml:space="preserve">  Time!L$12</f>
        <v>45108</v>
      </c>
      <c r="M59" s="20">
        <f xml:space="preserve">  Time!M$12</f>
        <v>45139</v>
      </c>
      <c r="N59" s="20">
        <f xml:space="preserve">  Time!N$12</f>
        <v>45170</v>
      </c>
      <c r="O59" s="20">
        <f xml:space="preserve">  Time!O$12</f>
        <v>45200</v>
      </c>
      <c r="P59" s="20">
        <f xml:space="preserve">  Time!P$12</f>
        <v>45231</v>
      </c>
      <c r="Q59" s="20">
        <f xml:space="preserve">  Time!Q$12</f>
        <v>45261</v>
      </c>
      <c r="R59" s="20">
        <f xml:space="preserve">  Time!R$12</f>
        <v>45292</v>
      </c>
      <c r="S59" s="20">
        <f xml:space="preserve">  Time!S$12</f>
        <v>45323</v>
      </c>
      <c r="T59" s="20">
        <f xml:space="preserve">  Time!T$12</f>
        <v>45352</v>
      </c>
      <c r="U59" s="20">
        <f xml:space="preserve">  Time!U$12</f>
        <v>45383</v>
      </c>
      <c r="V59" s="20">
        <f xml:space="preserve">  Time!V$12</f>
        <v>45413</v>
      </c>
      <c r="W59" s="20">
        <f xml:space="preserve">  Time!W$12</f>
        <v>45444</v>
      </c>
      <c r="X59" s="20">
        <f xml:space="preserve">  Time!X$12</f>
        <v>45474</v>
      </c>
      <c r="Y59" s="20">
        <f xml:space="preserve">  Time!Y$12</f>
        <v>45505</v>
      </c>
      <c r="Z59" s="20">
        <f xml:space="preserve">  Time!Z$12</f>
        <v>45536</v>
      </c>
      <c r="AA59" s="20">
        <f xml:space="preserve">  Time!AA$12</f>
        <v>45566</v>
      </c>
      <c r="AB59" s="20">
        <f xml:space="preserve">  Time!AB$12</f>
        <v>45597</v>
      </c>
      <c r="AC59" s="20">
        <f xml:space="preserve">  Time!AC$12</f>
        <v>45627</v>
      </c>
      <c r="AD59" s="20">
        <f xml:space="preserve">  Time!AD$12</f>
        <v>45658</v>
      </c>
      <c r="AE59" s="20">
        <f xml:space="preserve">  Time!AE$12</f>
        <v>45689</v>
      </c>
      <c r="AF59" s="20">
        <f xml:space="preserve">  Time!AF$12</f>
        <v>45717</v>
      </c>
      <c r="AG59" s="20">
        <f xml:space="preserve">  Time!AG$12</f>
        <v>45748</v>
      </c>
      <c r="AH59" s="20">
        <f xml:space="preserve">  Time!AH$12</f>
        <v>45778</v>
      </c>
      <c r="AI59" s="20">
        <f xml:space="preserve">  Time!AI$12</f>
        <v>45809</v>
      </c>
      <c r="AJ59" s="20">
        <f xml:space="preserve">  Time!AJ$12</f>
        <v>45839</v>
      </c>
      <c r="AK59" s="20">
        <f xml:space="preserve">  Time!AK$12</f>
        <v>45870</v>
      </c>
      <c r="AL59" s="20">
        <f xml:space="preserve">  Time!AL$12</f>
        <v>45901</v>
      </c>
      <c r="AM59" s="20">
        <f xml:space="preserve">  Time!AM$12</f>
        <v>45931</v>
      </c>
      <c r="AN59" s="20">
        <f xml:space="preserve">  Time!AN$12</f>
        <v>45962</v>
      </c>
      <c r="AO59" s="20">
        <f xml:space="preserve">  Time!AO$12</f>
        <v>45992</v>
      </c>
      <c r="AP59" s="20">
        <f xml:space="preserve">  Time!AP$12</f>
        <v>46023</v>
      </c>
      <c r="AQ59" s="20">
        <f xml:space="preserve">  Time!AQ$12</f>
        <v>46054</v>
      </c>
      <c r="AR59" s="20">
        <f xml:space="preserve">  Time!AR$12</f>
        <v>46082</v>
      </c>
      <c r="AS59" s="20">
        <f xml:space="preserve">  Time!AS$12</f>
        <v>46113</v>
      </c>
      <c r="AT59" s="20">
        <f xml:space="preserve">  Time!AT$12</f>
        <v>46143</v>
      </c>
      <c r="AU59" s="20">
        <f xml:space="preserve">  Time!AU$12</f>
        <v>46174</v>
      </c>
      <c r="AV59" s="20">
        <f xml:space="preserve">  Time!AV$12</f>
        <v>46204</v>
      </c>
      <c r="AW59" s="20">
        <f xml:space="preserve">  Time!AW$12</f>
        <v>46235</v>
      </c>
      <c r="AX59" s="20">
        <f xml:space="preserve">  Time!AX$12</f>
        <v>46266</v>
      </c>
      <c r="AY59" s="20">
        <f xml:space="preserve">  Time!AY$12</f>
        <v>46296</v>
      </c>
      <c r="AZ59" s="20">
        <f xml:space="preserve">  Time!AZ$12</f>
        <v>46327</v>
      </c>
      <c r="BA59" s="20">
        <f xml:space="preserve">  Time!BA$12</f>
        <v>46357</v>
      </c>
      <c r="BB59" s="20">
        <f xml:space="preserve">  Time!BB$12</f>
        <v>46388</v>
      </c>
      <c r="BC59" s="20">
        <f xml:space="preserve">  Time!BC$12</f>
        <v>46419</v>
      </c>
      <c r="BD59" s="20">
        <f xml:space="preserve">  Time!BD$12</f>
        <v>46447</v>
      </c>
      <c r="BE59" s="20">
        <f xml:space="preserve">  Time!BE$12</f>
        <v>46478</v>
      </c>
      <c r="BF59" s="20">
        <f xml:space="preserve">  Time!BF$12</f>
        <v>46508</v>
      </c>
      <c r="BG59" s="20">
        <f xml:space="preserve">  Time!BG$12</f>
        <v>46539</v>
      </c>
      <c r="BH59" s="20">
        <f xml:space="preserve">  Time!BH$12</f>
        <v>46569</v>
      </c>
      <c r="BI59" s="20">
        <f xml:space="preserve">  Time!BI$12</f>
        <v>46600</v>
      </c>
      <c r="BJ59" s="20">
        <f xml:space="preserve">  Time!BJ$12</f>
        <v>46631</v>
      </c>
      <c r="BK59" s="20">
        <f xml:space="preserve">  Time!BK$12</f>
        <v>46661</v>
      </c>
      <c r="BL59" s="20">
        <f xml:space="preserve">  Time!BL$12</f>
        <v>46692</v>
      </c>
      <c r="BM59" s="20">
        <f xml:space="preserve">  Time!BM$12</f>
        <v>46722</v>
      </c>
      <c r="BN59" s="20">
        <f xml:space="preserve">  Time!BN$12</f>
        <v>46753</v>
      </c>
      <c r="BO59" s="20">
        <f xml:space="preserve">  Time!BO$12</f>
        <v>46784</v>
      </c>
      <c r="BP59" s="20">
        <f xml:space="preserve">  Time!BP$12</f>
        <v>46813</v>
      </c>
      <c r="BQ59" s="20">
        <f xml:space="preserve">  Time!BQ$12</f>
        <v>46844</v>
      </c>
    </row>
    <row r="60" spans="1:69" outlineLevel="1">
      <c r="A60" s="18"/>
      <c r="B60" s="18"/>
      <c r="C60" s="28"/>
      <c r="D60" s="27"/>
      <c r="E60" s="20" t="str">
        <f xml:space="preserve">  Time!E$19</f>
        <v>Model period end</v>
      </c>
      <c r="F60" s="20">
        <f xml:space="preserve">  Time!F$19</f>
        <v>0</v>
      </c>
      <c r="G60" s="20" t="str">
        <f xml:space="preserve">  Time!G$19</f>
        <v>date</v>
      </c>
      <c r="H60" s="20">
        <f xml:space="preserve">  Time!H$19</f>
        <v>0</v>
      </c>
      <c r="I60" s="20">
        <f xml:space="preserve">  Time!I$19</f>
        <v>0</v>
      </c>
      <c r="J60" s="20">
        <f xml:space="preserve">  Time!J$19</f>
        <v>45077</v>
      </c>
      <c r="K60" s="20">
        <f xml:space="preserve">  Time!K$19</f>
        <v>45107</v>
      </c>
      <c r="L60" s="20">
        <f xml:space="preserve">  Time!L$19</f>
        <v>45138</v>
      </c>
      <c r="M60" s="20">
        <f xml:space="preserve">  Time!M$19</f>
        <v>45169</v>
      </c>
      <c r="N60" s="20">
        <f xml:space="preserve">  Time!N$19</f>
        <v>45199</v>
      </c>
      <c r="O60" s="20">
        <f xml:space="preserve">  Time!O$19</f>
        <v>45230</v>
      </c>
      <c r="P60" s="20">
        <f xml:space="preserve">  Time!P$19</f>
        <v>45260</v>
      </c>
      <c r="Q60" s="20">
        <f xml:space="preserve">  Time!Q$19</f>
        <v>45291</v>
      </c>
      <c r="R60" s="20">
        <f xml:space="preserve">  Time!R$19</f>
        <v>45322</v>
      </c>
      <c r="S60" s="20">
        <f xml:space="preserve">  Time!S$19</f>
        <v>45351</v>
      </c>
      <c r="T60" s="20">
        <f xml:space="preserve">  Time!T$19</f>
        <v>45382</v>
      </c>
      <c r="U60" s="20">
        <f xml:space="preserve">  Time!U$19</f>
        <v>45412</v>
      </c>
      <c r="V60" s="20">
        <f xml:space="preserve">  Time!V$19</f>
        <v>45443</v>
      </c>
      <c r="W60" s="20">
        <f xml:space="preserve">  Time!W$19</f>
        <v>45473</v>
      </c>
      <c r="X60" s="20">
        <f xml:space="preserve">  Time!X$19</f>
        <v>45504</v>
      </c>
      <c r="Y60" s="20">
        <f xml:space="preserve">  Time!Y$19</f>
        <v>45535</v>
      </c>
      <c r="Z60" s="20">
        <f xml:space="preserve">  Time!Z$19</f>
        <v>45565</v>
      </c>
      <c r="AA60" s="20">
        <f xml:space="preserve">  Time!AA$19</f>
        <v>45596</v>
      </c>
      <c r="AB60" s="20">
        <f xml:space="preserve">  Time!AB$19</f>
        <v>45626</v>
      </c>
      <c r="AC60" s="20">
        <f xml:space="preserve">  Time!AC$19</f>
        <v>45657</v>
      </c>
      <c r="AD60" s="20">
        <f xml:space="preserve">  Time!AD$19</f>
        <v>45688</v>
      </c>
      <c r="AE60" s="20">
        <f xml:space="preserve">  Time!AE$19</f>
        <v>45716</v>
      </c>
      <c r="AF60" s="20">
        <f xml:space="preserve">  Time!AF$19</f>
        <v>45747</v>
      </c>
      <c r="AG60" s="20">
        <f xml:space="preserve">  Time!AG$19</f>
        <v>45777</v>
      </c>
      <c r="AH60" s="20">
        <f xml:space="preserve">  Time!AH$19</f>
        <v>45808</v>
      </c>
      <c r="AI60" s="20">
        <f xml:space="preserve">  Time!AI$19</f>
        <v>45838</v>
      </c>
      <c r="AJ60" s="20">
        <f xml:space="preserve">  Time!AJ$19</f>
        <v>45869</v>
      </c>
      <c r="AK60" s="20">
        <f xml:space="preserve">  Time!AK$19</f>
        <v>45900</v>
      </c>
      <c r="AL60" s="20">
        <f xml:space="preserve">  Time!AL$19</f>
        <v>45930</v>
      </c>
      <c r="AM60" s="20">
        <f xml:space="preserve">  Time!AM$19</f>
        <v>45961</v>
      </c>
      <c r="AN60" s="20">
        <f xml:space="preserve">  Time!AN$19</f>
        <v>45991</v>
      </c>
      <c r="AO60" s="20">
        <f xml:space="preserve">  Time!AO$19</f>
        <v>46022</v>
      </c>
      <c r="AP60" s="20">
        <f xml:space="preserve">  Time!AP$19</f>
        <v>46053</v>
      </c>
      <c r="AQ60" s="20">
        <f xml:space="preserve">  Time!AQ$19</f>
        <v>46081</v>
      </c>
      <c r="AR60" s="20">
        <f xml:space="preserve">  Time!AR$19</f>
        <v>46112</v>
      </c>
      <c r="AS60" s="20">
        <f xml:space="preserve">  Time!AS$19</f>
        <v>46142</v>
      </c>
      <c r="AT60" s="20">
        <f xml:space="preserve">  Time!AT$19</f>
        <v>46173</v>
      </c>
      <c r="AU60" s="20">
        <f xml:space="preserve">  Time!AU$19</f>
        <v>46203</v>
      </c>
      <c r="AV60" s="20">
        <f xml:space="preserve">  Time!AV$19</f>
        <v>46234</v>
      </c>
      <c r="AW60" s="20">
        <f xml:space="preserve">  Time!AW$19</f>
        <v>46265</v>
      </c>
      <c r="AX60" s="20">
        <f xml:space="preserve">  Time!AX$19</f>
        <v>46295</v>
      </c>
      <c r="AY60" s="20">
        <f xml:space="preserve">  Time!AY$19</f>
        <v>46326</v>
      </c>
      <c r="AZ60" s="20">
        <f xml:space="preserve">  Time!AZ$19</f>
        <v>46356</v>
      </c>
      <c r="BA60" s="20">
        <f xml:space="preserve">  Time!BA$19</f>
        <v>46387</v>
      </c>
      <c r="BB60" s="20">
        <f xml:space="preserve">  Time!BB$19</f>
        <v>46418</v>
      </c>
      <c r="BC60" s="20">
        <f xml:space="preserve">  Time!BC$19</f>
        <v>46446</v>
      </c>
      <c r="BD60" s="20">
        <f xml:space="preserve">  Time!BD$19</f>
        <v>46477</v>
      </c>
      <c r="BE60" s="20">
        <f xml:space="preserve">  Time!BE$19</f>
        <v>46507</v>
      </c>
      <c r="BF60" s="20">
        <f xml:space="preserve">  Time!BF$19</f>
        <v>46538</v>
      </c>
      <c r="BG60" s="20">
        <f xml:space="preserve">  Time!BG$19</f>
        <v>46568</v>
      </c>
      <c r="BH60" s="20">
        <f xml:space="preserve">  Time!BH$19</f>
        <v>46599</v>
      </c>
      <c r="BI60" s="20">
        <f xml:space="preserve">  Time!BI$19</f>
        <v>46630</v>
      </c>
      <c r="BJ60" s="20">
        <f xml:space="preserve">  Time!BJ$19</f>
        <v>46660</v>
      </c>
      <c r="BK60" s="20">
        <f xml:space="preserve">  Time!BK$19</f>
        <v>46691</v>
      </c>
      <c r="BL60" s="20">
        <f xml:space="preserve">  Time!BL$19</f>
        <v>46721</v>
      </c>
      <c r="BM60" s="20">
        <f xml:space="preserve">  Time!BM$19</f>
        <v>46752</v>
      </c>
      <c r="BN60" s="20">
        <f xml:space="preserve">  Time!BN$19</f>
        <v>46783</v>
      </c>
      <c r="BO60" s="20">
        <f xml:space="preserve">  Time!BO$19</f>
        <v>46812</v>
      </c>
      <c r="BP60" s="20">
        <f xml:space="preserve">  Time!BP$19</f>
        <v>46843</v>
      </c>
      <c r="BQ60" s="20">
        <f xml:space="preserve">  Time!BQ$19</f>
        <v>46873</v>
      </c>
    </row>
    <row r="61" spans="1:69" outlineLevel="1">
      <c r="E61" s="47" t="s">
        <v>37</v>
      </c>
      <c r="G61" s="47" t="s">
        <v>20</v>
      </c>
      <c r="H61" s="2">
        <f xml:space="preserve"> SUM( J61:BQ61 )</f>
        <v>5</v>
      </c>
      <c r="J61" s="2">
        <f t="shared" ref="J61:BQ61" si="21" xml:space="preserve">  IF( AND( J58 &gt;= J59, J58 &lt;= J60 ), 1, 0 )</f>
        <v>0</v>
      </c>
      <c r="K61" s="2">
        <f t="shared" si="21"/>
        <v>0</v>
      </c>
      <c r="L61" s="2">
        <f t="shared" si="21"/>
        <v>0</v>
      </c>
      <c r="M61" s="2">
        <f t="shared" si="21"/>
        <v>1</v>
      </c>
      <c r="N61" s="2">
        <f t="shared" si="21"/>
        <v>0</v>
      </c>
      <c r="O61" s="2">
        <f t="shared" si="21"/>
        <v>0</v>
      </c>
      <c r="P61" s="2">
        <f t="shared" si="21"/>
        <v>0</v>
      </c>
      <c r="Q61" s="2">
        <f t="shared" si="21"/>
        <v>0</v>
      </c>
      <c r="R61" s="2">
        <f t="shared" si="21"/>
        <v>0</v>
      </c>
      <c r="S61" s="2">
        <f t="shared" si="21"/>
        <v>0</v>
      </c>
      <c r="T61" s="2">
        <f t="shared" si="21"/>
        <v>0</v>
      </c>
      <c r="U61" s="2">
        <f t="shared" si="21"/>
        <v>0</v>
      </c>
      <c r="V61" s="2">
        <f t="shared" si="21"/>
        <v>0</v>
      </c>
      <c r="W61" s="2">
        <f t="shared" si="21"/>
        <v>0</v>
      </c>
      <c r="X61" s="2">
        <f t="shared" si="21"/>
        <v>0</v>
      </c>
      <c r="Y61" s="2">
        <f t="shared" si="21"/>
        <v>1</v>
      </c>
      <c r="Z61" s="2">
        <f t="shared" si="21"/>
        <v>0</v>
      </c>
      <c r="AA61" s="2">
        <f t="shared" si="21"/>
        <v>0</v>
      </c>
      <c r="AB61" s="2">
        <f t="shared" si="21"/>
        <v>0</v>
      </c>
      <c r="AC61" s="2">
        <f t="shared" si="21"/>
        <v>0</v>
      </c>
      <c r="AD61" s="2">
        <f t="shared" si="21"/>
        <v>0</v>
      </c>
      <c r="AE61" s="2">
        <f t="shared" si="21"/>
        <v>0</v>
      </c>
      <c r="AF61" s="2">
        <f t="shared" si="21"/>
        <v>0</v>
      </c>
      <c r="AG61" s="2">
        <f t="shared" si="21"/>
        <v>0</v>
      </c>
      <c r="AH61" s="2">
        <f t="shared" si="21"/>
        <v>0</v>
      </c>
      <c r="AI61" s="2">
        <f t="shared" si="21"/>
        <v>0</v>
      </c>
      <c r="AJ61" s="2">
        <f t="shared" si="21"/>
        <v>0</v>
      </c>
      <c r="AK61" s="2">
        <f t="shared" si="21"/>
        <v>1</v>
      </c>
      <c r="AL61" s="2">
        <f t="shared" si="21"/>
        <v>0</v>
      </c>
      <c r="AM61" s="2">
        <f t="shared" si="21"/>
        <v>0</v>
      </c>
      <c r="AN61" s="2">
        <f t="shared" si="21"/>
        <v>0</v>
      </c>
      <c r="AO61" s="2">
        <f t="shared" si="21"/>
        <v>0</v>
      </c>
      <c r="AP61" s="2">
        <f t="shared" si="21"/>
        <v>0</v>
      </c>
      <c r="AQ61" s="2">
        <f t="shared" si="21"/>
        <v>0</v>
      </c>
      <c r="AR61" s="2">
        <f t="shared" si="21"/>
        <v>0</v>
      </c>
      <c r="AS61" s="2">
        <f t="shared" si="21"/>
        <v>0</v>
      </c>
      <c r="AT61" s="2">
        <f t="shared" si="21"/>
        <v>0</v>
      </c>
      <c r="AU61" s="2">
        <f t="shared" si="21"/>
        <v>0</v>
      </c>
      <c r="AV61" s="2">
        <f t="shared" si="21"/>
        <v>0</v>
      </c>
      <c r="AW61" s="2">
        <f t="shared" si="21"/>
        <v>1</v>
      </c>
      <c r="AX61" s="2">
        <f t="shared" si="21"/>
        <v>0</v>
      </c>
      <c r="AY61" s="2">
        <f t="shared" si="21"/>
        <v>0</v>
      </c>
      <c r="AZ61" s="2">
        <f t="shared" si="21"/>
        <v>0</v>
      </c>
      <c r="BA61" s="2">
        <f t="shared" si="21"/>
        <v>0</v>
      </c>
      <c r="BB61" s="2">
        <f t="shared" si="21"/>
        <v>0</v>
      </c>
      <c r="BC61" s="2">
        <f t="shared" si="21"/>
        <v>0</v>
      </c>
      <c r="BD61" s="2">
        <f t="shared" si="21"/>
        <v>0</v>
      </c>
      <c r="BE61" s="2">
        <f t="shared" si="21"/>
        <v>0</v>
      </c>
      <c r="BF61" s="2">
        <f t="shared" si="21"/>
        <v>0</v>
      </c>
      <c r="BG61" s="2">
        <f t="shared" si="21"/>
        <v>0</v>
      </c>
      <c r="BH61" s="2">
        <f t="shared" si="21"/>
        <v>0</v>
      </c>
      <c r="BI61" s="2">
        <f t="shared" si="21"/>
        <v>1</v>
      </c>
      <c r="BJ61" s="2">
        <f t="shared" si="21"/>
        <v>0</v>
      </c>
      <c r="BK61" s="2">
        <f t="shared" si="21"/>
        <v>0</v>
      </c>
      <c r="BL61" s="2">
        <f t="shared" si="21"/>
        <v>0</v>
      </c>
      <c r="BM61" s="2">
        <f t="shared" si="21"/>
        <v>0</v>
      </c>
      <c r="BN61" s="2">
        <f t="shared" si="21"/>
        <v>0</v>
      </c>
      <c r="BO61" s="2">
        <f t="shared" si="21"/>
        <v>0</v>
      </c>
      <c r="BP61" s="2">
        <f t="shared" si="21"/>
        <v>0</v>
      </c>
      <c r="BQ61" s="2">
        <f t="shared" si="21"/>
        <v>0</v>
      </c>
    </row>
    <row r="64" spans="1:69">
      <c r="A64" s="25" t="s">
        <v>226</v>
      </c>
    </row>
    <row r="65" spans="1:69" outlineLevel="1">
      <c r="B65" s="25" t="s">
        <v>179</v>
      </c>
    </row>
    <row r="66" spans="1:69" outlineLevel="2">
      <c r="E66" s="2" t="str">
        <f t="shared" ref="E66:BQ66" si="22" xml:space="preserve">  E$75</f>
        <v>Corporation tax creditor BEG</v>
      </c>
      <c r="F66" s="2">
        <f t="shared" si="22"/>
        <v>0</v>
      </c>
      <c r="G66" s="2" t="str">
        <f t="shared" si="22"/>
        <v>GBP</v>
      </c>
      <c r="H66" s="2">
        <f t="shared" si="22"/>
        <v>0</v>
      </c>
      <c r="I66" s="2">
        <f t="shared" si="22"/>
        <v>0</v>
      </c>
      <c r="J66" s="2">
        <f t="shared" si="22"/>
        <v>0</v>
      </c>
      <c r="K66" s="2">
        <f t="shared" ca="1" si="22"/>
        <v>0</v>
      </c>
      <c r="L66" s="2">
        <f t="shared" ca="1" si="22"/>
        <v>0</v>
      </c>
      <c r="M66" s="2">
        <f t="shared" ca="1" si="22"/>
        <v>0</v>
      </c>
      <c r="N66" s="2">
        <f t="shared" ca="1" si="22"/>
        <v>0</v>
      </c>
      <c r="O66" s="2">
        <f t="shared" ca="1" si="22"/>
        <v>0</v>
      </c>
      <c r="P66" s="2">
        <f t="shared" ca="1" si="22"/>
        <v>0</v>
      </c>
      <c r="Q66" s="2">
        <f t="shared" ca="1" si="22"/>
        <v>36589.187229040661</v>
      </c>
      <c r="R66" s="2">
        <f t="shared" ca="1" si="22"/>
        <v>80343.088568888634</v>
      </c>
      <c r="S66" s="2">
        <f t="shared" ca="1" si="22"/>
        <v>138096.98990873661</v>
      </c>
      <c r="T66" s="2">
        <f t="shared" ca="1" si="22"/>
        <v>195723.33616804826</v>
      </c>
      <c r="U66" s="2">
        <f t="shared" ca="1" si="22"/>
        <v>323349.68242735992</v>
      </c>
      <c r="V66" s="2">
        <f t="shared" ca="1" si="22"/>
        <v>450976.02868667158</v>
      </c>
      <c r="W66" s="2">
        <f t="shared" ca="1" si="22"/>
        <v>645978.57872358116</v>
      </c>
      <c r="X66" s="2">
        <f t="shared" ca="1" si="22"/>
        <v>896416.38099716289</v>
      </c>
      <c r="Y66" s="2">
        <f t="shared" ca="1" si="22"/>
        <v>1155969.6821670486</v>
      </c>
      <c r="Z66" s="2">
        <f t="shared" ca="1" si="22"/>
        <v>325438.66699015209</v>
      </c>
      <c r="AA66" s="2">
        <f t="shared" ca="1" si="22"/>
        <v>648741.11518224888</v>
      </c>
      <c r="AB66" s="2">
        <f t="shared" ca="1" si="22"/>
        <v>968709.86762981722</v>
      </c>
      <c r="AC66" s="2">
        <f t="shared" ca="1" si="22"/>
        <v>1285009.888752877</v>
      </c>
      <c r="AD66" s="2">
        <f t="shared" ca="1" si="22"/>
        <v>1597567.962922093</v>
      </c>
      <c r="AE66" s="2">
        <f t="shared" ca="1" si="22"/>
        <v>1906161.5823926614</v>
      </c>
      <c r="AF66" s="2">
        <f t="shared" ca="1" si="22"/>
        <v>2245414.431546838</v>
      </c>
      <c r="AG66" s="2">
        <f t="shared" ca="1" si="22"/>
        <v>2615217.3307595411</v>
      </c>
      <c r="AH66" s="2">
        <f t="shared" ca="1" si="22"/>
        <v>3015305.6722375061</v>
      </c>
      <c r="AI66" s="2">
        <f t="shared" ca="1" si="22"/>
        <v>3465700.2461692989</v>
      </c>
      <c r="AJ66" s="2">
        <f t="shared" ca="1" si="22"/>
        <v>3938802.9079692853</v>
      </c>
      <c r="AK66" s="2">
        <f t="shared" ca="1" si="22"/>
        <v>4469298.9841670301</v>
      </c>
      <c r="AL66" s="2">
        <f t="shared" ca="1" si="22"/>
        <v>552409.1273615323</v>
      </c>
      <c r="AM66" s="2">
        <f t="shared" ca="1" si="22"/>
        <v>1132405.0751639511</v>
      </c>
      <c r="AN66" s="2">
        <f t="shared" ca="1" si="22"/>
        <v>1754733.6314773127</v>
      </c>
      <c r="AO66" s="2">
        <f t="shared" ca="1" si="22"/>
        <v>2418847.7838962418</v>
      </c>
      <c r="AP66" s="2">
        <f t="shared" ca="1" si="22"/>
        <v>3095358.0424074833</v>
      </c>
      <c r="AQ66" s="2">
        <f t="shared" ca="1" si="22"/>
        <v>3833939.3915214296</v>
      </c>
      <c r="AR66" s="2">
        <f t="shared" ca="1" si="22"/>
        <v>4598965.7582233911</v>
      </c>
      <c r="AS66" s="2">
        <f t="shared" ca="1" si="22"/>
        <v>5425092.2250424046</v>
      </c>
      <c r="AT66" s="2">
        <f t="shared" ca="1" si="22"/>
        <v>6311789.5763919428</v>
      </c>
      <c r="AU66" s="2">
        <f t="shared" ca="1" si="22"/>
        <v>7289015.4291087352</v>
      </c>
      <c r="AV66" s="2">
        <f t="shared" ca="1" si="22"/>
        <v>8318989.9254117729</v>
      </c>
      <c r="AW66" s="2">
        <f t="shared" ca="1" si="22"/>
        <v>9433606.0379642248</v>
      </c>
      <c r="AX66" s="2">
        <f t="shared" ca="1" si="22"/>
        <v>1230804.2380511686</v>
      </c>
      <c r="AY66" s="2">
        <f t="shared" ca="1" si="22"/>
        <v>2539470.791286557</v>
      </c>
      <c r="AZ66" s="2">
        <f t="shared" ca="1" si="22"/>
        <v>3957304.760690697</v>
      </c>
      <c r="BA66" s="2">
        <f t="shared" ca="1" si="22"/>
        <v>5480225.8980286587</v>
      </c>
      <c r="BB66" s="2">
        <f t="shared" ca="1" si="22"/>
        <v>7104252.4584738994</v>
      </c>
      <c r="BC66" s="2">
        <f t="shared" ca="1" si="22"/>
        <v>8824990.4418280069</v>
      </c>
      <c r="BD66" s="2">
        <f t="shared" ca="1" si="22"/>
        <v>10672614.55275248</v>
      </c>
      <c r="BE66" s="2">
        <f t="shared" ca="1" si="22"/>
        <v>12642362.707076013</v>
      </c>
      <c r="BF66" s="2">
        <f t="shared" ca="1" si="22"/>
        <v>14764009.528499331</v>
      </c>
      <c r="BG66" s="2">
        <f t="shared" ca="1" si="22"/>
        <v>17025550.839065265</v>
      </c>
      <c r="BH66" s="2">
        <f t="shared" ca="1" si="22"/>
        <v>19421289.436803691</v>
      </c>
      <c r="BI66" s="2">
        <f t="shared" ca="1" si="22"/>
        <v>21980011.267040946</v>
      </c>
      <c r="BJ66" s="2">
        <f t="shared" ca="1" si="22"/>
        <v>2714943.5978658721</v>
      </c>
      <c r="BK66" s="2">
        <f t="shared" ca="1" si="22"/>
        <v>5601711.8261001837</v>
      </c>
      <c r="BL66" s="2">
        <f t="shared" ca="1" si="22"/>
        <v>8652914.8866719976</v>
      </c>
      <c r="BM66" s="2">
        <f t="shared" ca="1" si="22"/>
        <v>11895541.334824042</v>
      </c>
      <c r="BN66" s="2">
        <f t="shared" ca="1" si="22"/>
        <v>15308878.629190644</v>
      </c>
      <c r="BO66" s="2">
        <f t="shared" ca="1" si="22"/>
        <v>18919138.769374978</v>
      </c>
      <c r="BP66" s="2">
        <f t="shared" ca="1" si="22"/>
        <v>22751825.840136867</v>
      </c>
      <c r="BQ66" s="2">
        <f t="shared" ca="1" si="22"/>
        <v>26797260.997696877</v>
      </c>
    </row>
    <row r="67" spans="1:69" outlineLevel="2">
      <c r="E67" s="2" t="str">
        <f t="shared" ref="E67:BQ67" si="23" xml:space="preserve">  E$61</f>
        <v>Corporation tax paid this period</v>
      </c>
      <c r="F67" s="2">
        <f t="shared" si="23"/>
        <v>0</v>
      </c>
      <c r="G67" s="2" t="str">
        <f t="shared" si="23"/>
        <v>flag</v>
      </c>
      <c r="H67" s="2">
        <f t="shared" si="23"/>
        <v>5</v>
      </c>
      <c r="I67" s="2">
        <f t="shared" si="23"/>
        <v>0</v>
      </c>
      <c r="J67" s="2">
        <f t="shared" si="23"/>
        <v>0</v>
      </c>
      <c r="K67" s="2">
        <f t="shared" si="23"/>
        <v>0</v>
      </c>
      <c r="L67" s="2">
        <f t="shared" si="23"/>
        <v>0</v>
      </c>
      <c r="M67" s="2">
        <f t="shared" si="23"/>
        <v>1</v>
      </c>
      <c r="N67" s="2">
        <f t="shared" si="23"/>
        <v>0</v>
      </c>
      <c r="O67" s="2">
        <f t="shared" si="23"/>
        <v>0</v>
      </c>
      <c r="P67" s="2">
        <f t="shared" si="23"/>
        <v>0</v>
      </c>
      <c r="Q67" s="2">
        <f t="shared" si="23"/>
        <v>0</v>
      </c>
      <c r="R67" s="2">
        <f t="shared" si="23"/>
        <v>0</v>
      </c>
      <c r="S67" s="2">
        <f t="shared" si="23"/>
        <v>0</v>
      </c>
      <c r="T67" s="2">
        <f t="shared" si="23"/>
        <v>0</v>
      </c>
      <c r="U67" s="2">
        <f t="shared" si="23"/>
        <v>0</v>
      </c>
      <c r="V67" s="2">
        <f t="shared" si="23"/>
        <v>0</v>
      </c>
      <c r="W67" s="2">
        <f t="shared" si="23"/>
        <v>0</v>
      </c>
      <c r="X67" s="2">
        <f t="shared" si="23"/>
        <v>0</v>
      </c>
      <c r="Y67" s="2">
        <f t="shared" si="23"/>
        <v>1</v>
      </c>
      <c r="Z67" s="2">
        <f t="shared" si="23"/>
        <v>0</v>
      </c>
      <c r="AA67" s="2">
        <f t="shared" si="23"/>
        <v>0</v>
      </c>
      <c r="AB67" s="2">
        <f t="shared" si="23"/>
        <v>0</v>
      </c>
      <c r="AC67" s="2">
        <f t="shared" si="23"/>
        <v>0</v>
      </c>
      <c r="AD67" s="2">
        <f t="shared" si="23"/>
        <v>0</v>
      </c>
      <c r="AE67" s="2">
        <f t="shared" si="23"/>
        <v>0</v>
      </c>
      <c r="AF67" s="2">
        <f t="shared" si="23"/>
        <v>0</v>
      </c>
      <c r="AG67" s="2">
        <f t="shared" si="23"/>
        <v>0</v>
      </c>
      <c r="AH67" s="2">
        <f t="shared" si="23"/>
        <v>0</v>
      </c>
      <c r="AI67" s="2">
        <f t="shared" si="23"/>
        <v>0</v>
      </c>
      <c r="AJ67" s="2">
        <f t="shared" si="23"/>
        <v>0</v>
      </c>
      <c r="AK67" s="2">
        <f t="shared" si="23"/>
        <v>1</v>
      </c>
      <c r="AL67" s="2">
        <f t="shared" si="23"/>
        <v>0</v>
      </c>
      <c r="AM67" s="2">
        <f t="shared" si="23"/>
        <v>0</v>
      </c>
      <c r="AN67" s="2">
        <f t="shared" si="23"/>
        <v>0</v>
      </c>
      <c r="AO67" s="2">
        <f t="shared" si="23"/>
        <v>0</v>
      </c>
      <c r="AP67" s="2">
        <f t="shared" si="23"/>
        <v>0</v>
      </c>
      <c r="AQ67" s="2">
        <f t="shared" si="23"/>
        <v>0</v>
      </c>
      <c r="AR67" s="2">
        <f t="shared" si="23"/>
        <v>0</v>
      </c>
      <c r="AS67" s="2">
        <f t="shared" si="23"/>
        <v>0</v>
      </c>
      <c r="AT67" s="2">
        <f t="shared" si="23"/>
        <v>0</v>
      </c>
      <c r="AU67" s="2">
        <f t="shared" si="23"/>
        <v>0</v>
      </c>
      <c r="AV67" s="2">
        <f t="shared" si="23"/>
        <v>0</v>
      </c>
      <c r="AW67" s="2">
        <f t="shared" si="23"/>
        <v>1</v>
      </c>
      <c r="AX67" s="2">
        <f t="shared" si="23"/>
        <v>0</v>
      </c>
      <c r="AY67" s="2">
        <f t="shared" si="23"/>
        <v>0</v>
      </c>
      <c r="AZ67" s="2">
        <f t="shared" si="23"/>
        <v>0</v>
      </c>
      <c r="BA67" s="2">
        <f t="shared" si="23"/>
        <v>0</v>
      </c>
      <c r="BB67" s="2">
        <f t="shared" si="23"/>
        <v>0</v>
      </c>
      <c r="BC67" s="2">
        <f t="shared" si="23"/>
        <v>0</v>
      </c>
      <c r="BD67" s="2">
        <f t="shared" si="23"/>
        <v>0</v>
      </c>
      <c r="BE67" s="2">
        <f t="shared" si="23"/>
        <v>0</v>
      </c>
      <c r="BF67" s="2">
        <f t="shared" si="23"/>
        <v>0</v>
      </c>
      <c r="BG67" s="2">
        <f t="shared" si="23"/>
        <v>0</v>
      </c>
      <c r="BH67" s="2">
        <f t="shared" si="23"/>
        <v>0</v>
      </c>
      <c r="BI67" s="2">
        <f t="shared" si="23"/>
        <v>1</v>
      </c>
      <c r="BJ67" s="2">
        <f t="shared" si="23"/>
        <v>0</v>
      </c>
      <c r="BK67" s="2">
        <f t="shared" si="23"/>
        <v>0</v>
      </c>
      <c r="BL67" s="2">
        <f t="shared" si="23"/>
        <v>0</v>
      </c>
      <c r="BM67" s="2">
        <f t="shared" si="23"/>
        <v>0</v>
      </c>
      <c r="BN67" s="2">
        <f t="shared" si="23"/>
        <v>0</v>
      </c>
      <c r="BO67" s="2">
        <f t="shared" si="23"/>
        <v>0</v>
      </c>
      <c r="BP67" s="2">
        <f t="shared" si="23"/>
        <v>0</v>
      </c>
      <c r="BQ67" s="2">
        <f t="shared" si="23"/>
        <v>0</v>
      </c>
    </row>
    <row r="68" spans="1:69" outlineLevel="2">
      <c r="E68" s="47" t="s">
        <v>328</v>
      </c>
      <c r="G68" s="47" t="s">
        <v>257</v>
      </c>
      <c r="H68" s="2">
        <f t="shared" ref="H68:H69" ca="1" si="24" xml:space="preserve"> SUM( J68:BQ68 )</f>
        <v>37038885.971339248</v>
      </c>
      <c r="J68" s="2">
        <f t="shared" ref="J68:BQ68" si="25" xml:space="preserve">  J66 * J67</f>
        <v>0</v>
      </c>
      <c r="K68" s="2">
        <f t="shared" ca="1" si="25"/>
        <v>0</v>
      </c>
      <c r="L68" s="2">
        <f t="shared" ca="1" si="25"/>
        <v>0</v>
      </c>
      <c r="M68" s="2">
        <f t="shared" ca="1" si="25"/>
        <v>0</v>
      </c>
      <c r="N68" s="2">
        <f t="shared" ca="1" si="25"/>
        <v>0</v>
      </c>
      <c r="O68" s="2">
        <f t="shared" ca="1" si="25"/>
        <v>0</v>
      </c>
      <c r="P68" s="2">
        <f t="shared" ca="1" si="25"/>
        <v>0</v>
      </c>
      <c r="Q68" s="2">
        <f t="shared" ca="1" si="25"/>
        <v>0</v>
      </c>
      <c r="R68" s="2">
        <f t="shared" ca="1" si="25"/>
        <v>0</v>
      </c>
      <c r="S68" s="2">
        <f t="shared" ca="1" si="25"/>
        <v>0</v>
      </c>
      <c r="T68" s="2">
        <f t="shared" ca="1" si="25"/>
        <v>0</v>
      </c>
      <c r="U68" s="2">
        <f t="shared" ca="1" si="25"/>
        <v>0</v>
      </c>
      <c r="V68" s="2">
        <f t="shared" ca="1" si="25"/>
        <v>0</v>
      </c>
      <c r="W68" s="2">
        <f t="shared" ca="1" si="25"/>
        <v>0</v>
      </c>
      <c r="X68" s="2">
        <f t="shared" ca="1" si="25"/>
        <v>0</v>
      </c>
      <c r="Y68" s="2">
        <f t="shared" ca="1" si="25"/>
        <v>1155969.6821670486</v>
      </c>
      <c r="Z68" s="2">
        <f t="shared" ca="1" si="25"/>
        <v>0</v>
      </c>
      <c r="AA68" s="2">
        <f t="shared" ca="1" si="25"/>
        <v>0</v>
      </c>
      <c r="AB68" s="2">
        <f t="shared" ca="1" si="25"/>
        <v>0</v>
      </c>
      <c r="AC68" s="2">
        <f t="shared" ca="1" si="25"/>
        <v>0</v>
      </c>
      <c r="AD68" s="2">
        <f t="shared" ca="1" si="25"/>
        <v>0</v>
      </c>
      <c r="AE68" s="2">
        <f t="shared" ca="1" si="25"/>
        <v>0</v>
      </c>
      <c r="AF68" s="2">
        <f t="shared" ca="1" si="25"/>
        <v>0</v>
      </c>
      <c r="AG68" s="2">
        <f t="shared" ca="1" si="25"/>
        <v>0</v>
      </c>
      <c r="AH68" s="2">
        <f t="shared" ca="1" si="25"/>
        <v>0</v>
      </c>
      <c r="AI68" s="2">
        <f t="shared" ca="1" si="25"/>
        <v>0</v>
      </c>
      <c r="AJ68" s="2">
        <f t="shared" ca="1" si="25"/>
        <v>0</v>
      </c>
      <c r="AK68" s="2">
        <f t="shared" ca="1" si="25"/>
        <v>4469298.9841670301</v>
      </c>
      <c r="AL68" s="2">
        <f t="shared" ca="1" si="25"/>
        <v>0</v>
      </c>
      <c r="AM68" s="2">
        <f t="shared" ca="1" si="25"/>
        <v>0</v>
      </c>
      <c r="AN68" s="2">
        <f t="shared" ca="1" si="25"/>
        <v>0</v>
      </c>
      <c r="AO68" s="2">
        <f t="shared" ca="1" si="25"/>
        <v>0</v>
      </c>
      <c r="AP68" s="2">
        <f t="shared" ca="1" si="25"/>
        <v>0</v>
      </c>
      <c r="AQ68" s="2">
        <f t="shared" ca="1" si="25"/>
        <v>0</v>
      </c>
      <c r="AR68" s="2">
        <f t="shared" ca="1" si="25"/>
        <v>0</v>
      </c>
      <c r="AS68" s="2">
        <f t="shared" ca="1" si="25"/>
        <v>0</v>
      </c>
      <c r="AT68" s="2">
        <f t="shared" ca="1" si="25"/>
        <v>0</v>
      </c>
      <c r="AU68" s="2">
        <f t="shared" ca="1" si="25"/>
        <v>0</v>
      </c>
      <c r="AV68" s="2">
        <f t="shared" ca="1" si="25"/>
        <v>0</v>
      </c>
      <c r="AW68" s="2">
        <f t="shared" ca="1" si="25"/>
        <v>9433606.0379642248</v>
      </c>
      <c r="AX68" s="2">
        <f t="shared" ca="1" si="25"/>
        <v>0</v>
      </c>
      <c r="AY68" s="2">
        <f t="shared" ca="1" si="25"/>
        <v>0</v>
      </c>
      <c r="AZ68" s="2">
        <f t="shared" ca="1" si="25"/>
        <v>0</v>
      </c>
      <c r="BA68" s="2">
        <f t="shared" ca="1" si="25"/>
        <v>0</v>
      </c>
      <c r="BB68" s="2">
        <f t="shared" ca="1" si="25"/>
        <v>0</v>
      </c>
      <c r="BC68" s="2">
        <f t="shared" ca="1" si="25"/>
        <v>0</v>
      </c>
      <c r="BD68" s="2">
        <f t="shared" ca="1" si="25"/>
        <v>0</v>
      </c>
      <c r="BE68" s="2">
        <f t="shared" ca="1" si="25"/>
        <v>0</v>
      </c>
      <c r="BF68" s="2">
        <f t="shared" ca="1" si="25"/>
        <v>0</v>
      </c>
      <c r="BG68" s="2">
        <f t="shared" ca="1" si="25"/>
        <v>0</v>
      </c>
      <c r="BH68" s="2">
        <f t="shared" ca="1" si="25"/>
        <v>0</v>
      </c>
      <c r="BI68" s="2">
        <f t="shared" ca="1" si="25"/>
        <v>21980011.267040946</v>
      </c>
      <c r="BJ68" s="2">
        <f t="shared" ca="1" si="25"/>
        <v>0</v>
      </c>
      <c r="BK68" s="2">
        <f t="shared" ca="1" si="25"/>
        <v>0</v>
      </c>
      <c r="BL68" s="2">
        <f t="shared" ca="1" si="25"/>
        <v>0</v>
      </c>
      <c r="BM68" s="2">
        <f t="shared" ca="1" si="25"/>
        <v>0</v>
      </c>
      <c r="BN68" s="2">
        <f t="shared" ca="1" si="25"/>
        <v>0</v>
      </c>
      <c r="BO68" s="2">
        <f t="shared" ca="1" si="25"/>
        <v>0</v>
      </c>
      <c r="BP68" s="2">
        <f t="shared" ca="1" si="25"/>
        <v>0</v>
      </c>
      <c r="BQ68" s="2">
        <f t="shared" ca="1" si="25"/>
        <v>0</v>
      </c>
    </row>
    <row r="69" spans="1:69" outlineLevel="2">
      <c r="A69" s="34"/>
      <c r="B69" s="34"/>
      <c r="C69" s="64"/>
      <c r="D69" s="65"/>
      <c r="E69" s="21" t="str">
        <f xml:space="preserve"> LEFT($E$68, LEN($E$68) - 3 )</f>
        <v xml:space="preserve">Corporation tax paid </v>
      </c>
      <c r="F69" s="21"/>
      <c r="G69" s="21" t="str">
        <f xml:space="preserve"> G$68</f>
        <v>GBP</v>
      </c>
      <c r="H69" s="3">
        <f t="shared" ca="1" si="24"/>
        <v>-37038885.971339248</v>
      </c>
      <c r="I69" s="21"/>
      <c r="J69" s="3">
        <f t="shared" ref="J69:BQ69" si="26" xml:space="preserve"> -1 * J68</f>
        <v>0</v>
      </c>
      <c r="K69" s="3">
        <f t="shared" ca="1" si="26"/>
        <v>0</v>
      </c>
      <c r="L69" s="3">
        <f t="shared" ca="1" si="26"/>
        <v>0</v>
      </c>
      <c r="M69" s="3">
        <f t="shared" ca="1" si="26"/>
        <v>0</v>
      </c>
      <c r="N69" s="3">
        <f t="shared" ca="1" si="26"/>
        <v>0</v>
      </c>
      <c r="O69" s="3">
        <f t="shared" ca="1" si="26"/>
        <v>0</v>
      </c>
      <c r="P69" s="3">
        <f t="shared" ca="1" si="26"/>
        <v>0</v>
      </c>
      <c r="Q69" s="3">
        <f t="shared" ca="1" si="26"/>
        <v>0</v>
      </c>
      <c r="R69" s="3">
        <f t="shared" ca="1" si="26"/>
        <v>0</v>
      </c>
      <c r="S69" s="3">
        <f t="shared" ca="1" si="26"/>
        <v>0</v>
      </c>
      <c r="T69" s="3">
        <f t="shared" ca="1" si="26"/>
        <v>0</v>
      </c>
      <c r="U69" s="3">
        <f t="shared" ca="1" si="26"/>
        <v>0</v>
      </c>
      <c r="V69" s="3">
        <f t="shared" ca="1" si="26"/>
        <v>0</v>
      </c>
      <c r="W69" s="3">
        <f t="shared" ca="1" si="26"/>
        <v>0</v>
      </c>
      <c r="X69" s="3">
        <f t="shared" ca="1" si="26"/>
        <v>0</v>
      </c>
      <c r="Y69" s="3">
        <f t="shared" ca="1" si="26"/>
        <v>-1155969.6821670486</v>
      </c>
      <c r="Z69" s="3">
        <f t="shared" ca="1" si="26"/>
        <v>0</v>
      </c>
      <c r="AA69" s="3">
        <f t="shared" ca="1" si="26"/>
        <v>0</v>
      </c>
      <c r="AB69" s="3">
        <f t="shared" ca="1" si="26"/>
        <v>0</v>
      </c>
      <c r="AC69" s="3">
        <f t="shared" ca="1" si="26"/>
        <v>0</v>
      </c>
      <c r="AD69" s="3">
        <f t="shared" ca="1" si="26"/>
        <v>0</v>
      </c>
      <c r="AE69" s="3">
        <f t="shared" ca="1" si="26"/>
        <v>0</v>
      </c>
      <c r="AF69" s="3">
        <f t="shared" ca="1" si="26"/>
        <v>0</v>
      </c>
      <c r="AG69" s="3">
        <f t="shared" ca="1" si="26"/>
        <v>0</v>
      </c>
      <c r="AH69" s="3">
        <f t="shared" ca="1" si="26"/>
        <v>0</v>
      </c>
      <c r="AI69" s="3">
        <f t="shared" ca="1" si="26"/>
        <v>0</v>
      </c>
      <c r="AJ69" s="3">
        <f t="shared" ca="1" si="26"/>
        <v>0</v>
      </c>
      <c r="AK69" s="3">
        <f t="shared" ca="1" si="26"/>
        <v>-4469298.9841670301</v>
      </c>
      <c r="AL69" s="3">
        <f t="shared" ca="1" si="26"/>
        <v>0</v>
      </c>
      <c r="AM69" s="3">
        <f t="shared" ca="1" si="26"/>
        <v>0</v>
      </c>
      <c r="AN69" s="3">
        <f t="shared" ca="1" si="26"/>
        <v>0</v>
      </c>
      <c r="AO69" s="3">
        <f t="shared" ca="1" si="26"/>
        <v>0</v>
      </c>
      <c r="AP69" s="3">
        <f t="shared" ca="1" si="26"/>
        <v>0</v>
      </c>
      <c r="AQ69" s="3">
        <f t="shared" ca="1" si="26"/>
        <v>0</v>
      </c>
      <c r="AR69" s="3">
        <f t="shared" ca="1" si="26"/>
        <v>0</v>
      </c>
      <c r="AS69" s="3">
        <f t="shared" ca="1" si="26"/>
        <v>0</v>
      </c>
      <c r="AT69" s="3">
        <f t="shared" ca="1" si="26"/>
        <v>0</v>
      </c>
      <c r="AU69" s="3">
        <f t="shared" ca="1" si="26"/>
        <v>0</v>
      </c>
      <c r="AV69" s="3">
        <f t="shared" ca="1" si="26"/>
        <v>0</v>
      </c>
      <c r="AW69" s="3">
        <f t="shared" ca="1" si="26"/>
        <v>-9433606.0379642248</v>
      </c>
      <c r="AX69" s="3">
        <f t="shared" ca="1" si="26"/>
        <v>0</v>
      </c>
      <c r="AY69" s="3">
        <f t="shared" ca="1" si="26"/>
        <v>0</v>
      </c>
      <c r="AZ69" s="3">
        <f t="shared" ca="1" si="26"/>
        <v>0</v>
      </c>
      <c r="BA69" s="3">
        <f t="shared" ca="1" si="26"/>
        <v>0</v>
      </c>
      <c r="BB69" s="3">
        <f t="shared" ca="1" si="26"/>
        <v>0</v>
      </c>
      <c r="BC69" s="3">
        <f t="shared" ca="1" si="26"/>
        <v>0</v>
      </c>
      <c r="BD69" s="3">
        <f t="shared" ca="1" si="26"/>
        <v>0</v>
      </c>
      <c r="BE69" s="3">
        <f t="shared" ca="1" si="26"/>
        <v>0</v>
      </c>
      <c r="BF69" s="3">
        <f t="shared" ca="1" si="26"/>
        <v>0</v>
      </c>
      <c r="BG69" s="3">
        <f t="shared" ca="1" si="26"/>
        <v>0</v>
      </c>
      <c r="BH69" s="3">
        <f t="shared" ca="1" si="26"/>
        <v>0</v>
      </c>
      <c r="BI69" s="3">
        <f t="shared" ca="1" si="26"/>
        <v>-21980011.267040946</v>
      </c>
      <c r="BJ69" s="3">
        <f t="shared" ca="1" si="26"/>
        <v>0</v>
      </c>
      <c r="BK69" s="3">
        <f t="shared" ca="1" si="26"/>
        <v>0</v>
      </c>
      <c r="BL69" s="3">
        <f t="shared" ca="1" si="26"/>
        <v>0</v>
      </c>
      <c r="BM69" s="3">
        <f t="shared" ca="1" si="26"/>
        <v>0</v>
      </c>
      <c r="BN69" s="3">
        <f t="shared" ca="1" si="26"/>
        <v>0</v>
      </c>
      <c r="BO69" s="3">
        <f t="shared" ca="1" si="26"/>
        <v>0</v>
      </c>
      <c r="BP69" s="3">
        <f t="shared" ca="1" si="26"/>
        <v>0</v>
      </c>
      <c r="BQ69" s="3">
        <f t="shared" ca="1" si="26"/>
        <v>0</v>
      </c>
    </row>
    <row r="70" spans="1:69" outlineLevel="1"/>
    <row r="71" spans="1:69" outlineLevel="1"/>
    <row r="72" spans="1:69" outlineLevel="1">
      <c r="B72" s="25" t="s">
        <v>226</v>
      </c>
    </row>
    <row r="73" spans="1:69" s="80" customFormat="1" outlineLevel="1">
      <c r="A73" s="60"/>
      <c r="B73" s="60"/>
      <c r="C73" s="82"/>
      <c r="D73" s="85"/>
      <c r="E73" s="40" t="str">
        <f xml:space="preserve">  InpC!E$93</f>
        <v>Opening Corporation tax creditor</v>
      </c>
      <c r="F73" s="40">
        <f xml:space="preserve">  InpC!F$93</f>
        <v>0</v>
      </c>
      <c r="G73" s="40" t="str">
        <f xml:space="preserve">  InpC!G$93</f>
        <v>GBP</v>
      </c>
      <c r="M73" s="87"/>
    </row>
    <row r="74" spans="1:69" outlineLevel="1">
      <c r="A74" s="18"/>
      <c r="B74" s="18"/>
      <c r="C74" s="28"/>
      <c r="D74" s="27"/>
      <c r="E74" s="9" t="str">
        <f xml:space="preserve">  Time!E$28</f>
        <v>Period number</v>
      </c>
      <c r="F74" s="9">
        <f xml:space="preserve">  Time!F$28</f>
        <v>0</v>
      </c>
      <c r="G74" s="9" t="str">
        <f xml:space="preserve">  Time!G$28</f>
        <v>Counter</v>
      </c>
      <c r="H74" s="9">
        <f xml:space="preserve">  Time!H$28</f>
        <v>0</v>
      </c>
      <c r="I74" s="9">
        <f xml:space="preserve">  Time!I$28</f>
        <v>0</v>
      </c>
      <c r="J74" s="9">
        <f xml:space="preserve">  Time!J$28</f>
        <v>1</v>
      </c>
      <c r="K74" s="9">
        <f xml:space="preserve">  Time!K$28</f>
        <v>2</v>
      </c>
      <c r="L74" s="9">
        <f xml:space="preserve">  Time!L$28</f>
        <v>3</v>
      </c>
      <c r="M74" s="9">
        <f xml:space="preserve">  Time!M$28</f>
        <v>4</v>
      </c>
      <c r="N74" s="9">
        <f xml:space="preserve">  Time!N$28</f>
        <v>5</v>
      </c>
      <c r="O74" s="9">
        <f xml:space="preserve">  Time!O$28</f>
        <v>6</v>
      </c>
      <c r="P74" s="9">
        <f xml:space="preserve">  Time!P$28</f>
        <v>7</v>
      </c>
      <c r="Q74" s="9">
        <f xml:space="preserve">  Time!Q$28</f>
        <v>8</v>
      </c>
      <c r="R74" s="9">
        <f xml:space="preserve">  Time!R$28</f>
        <v>9</v>
      </c>
      <c r="S74" s="9">
        <f xml:space="preserve">  Time!S$28</f>
        <v>10</v>
      </c>
      <c r="T74" s="9">
        <f xml:space="preserve">  Time!T$28</f>
        <v>11</v>
      </c>
      <c r="U74" s="9">
        <f xml:space="preserve">  Time!U$28</f>
        <v>12</v>
      </c>
      <c r="V74" s="9">
        <f xml:space="preserve">  Time!V$28</f>
        <v>13</v>
      </c>
      <c r="W74" s="9">
        <f xml:space="preserve">  Time!W$28</f>
        <v>14</v>
      </c>
      <c r="X74" s="9">
        <f xml:space="preserve">  Time!X$28</f>
        <v>15</v>
      </c>
      <c r="Y74" s="9">
        <f xml:space="preserve">  Time!Y$28</f>
        <v>16</v>
      </c>
      <c r="Z74" s="9">
        <f xml:space="preserve">  Time!Z$28</f>
        <v>17</v>
      </c>
      <c r="AA74" s="9">
        <f xml:space="preserve">  Time!AA$28</f>
        <v>18</v>
      </c>
      <c r="AB74" s="9">
        <f xml:space="preserve">  Time!AB$28</f>
        <v>19</v>
      </c>
      <c r="AC74" s="9">
        <f xml:space="preserve">  Time!AC$28</f>
        <v>20</v>
      </c>
      <c r="AD74" s="9">
        <f xml:space="preserve">  Time!AD$28</f>
        <v>21</v>
      </c>
      <c r="AE74" s="9">
        <f xml:space="preserve">  Time!AE$28</f>
        <v>22</v>
      </c>
      <c r="AF74" s="9">
        <f xml:space="preserve">  Time!AF$28</f>
        <v>23</v>
      </c>
      <c r="AG74" s="9">
        <f xml:space="preserve">  Time!AG$28</f>
        <v>24</v>
      </c>
      <c r="AH74" s="9">
        <f xml:space="preserve">  Time!AH$28</f>
        <v>25</v>
      </c>
      <c r="AI74" s="9">
        <f xml:space="preserve">  Time!AI$28</f>
        <v>26</v>
      </c>
      <c r="AJ74" s="9">
        <f xml:space="preserve">  Time!AJ$28</f>
        <v>27</v>
      </c>
      <c r="AK74" s="9">
        <f xml:space="preserve">  Time!AK$28</f>
        <v>28</v>
      </c>
      <c r="AL74" s="9">
        <f xml:space="preserve">  Time!AL$28</f>
        <v>29</v>
      </c>
      <c r="AM74" s="9">
        <f xml:space="preserve">  Time!AM$28</f>
        <v>30</v>
      </c>
      <c r="AN74" s="9">
        <f xml:space="preserve">  Time!AN$28</f>
        <v>31</v>
      </c>
      <c r="AO74" s="9">
        <f xml:space="preserve">  Time!AO$28</f>
        <v>32</v>
      </c>
      <c r="AP74" s="9">
        <f xml:space="preserve">  Time!AP$28</f>
        <v>33</v>
      </c>
      <c r="AQ74" s="9">
        <f xml:space="preserve">  Time!AQ$28</f>
        <v>34</v>
      </c>
      <c r="AR74" s="9">
        <f xml:space="preserve">  Time!AR$28</f>
        <v>35</v>
      </c>
      <c r="AS74" s="9">
        <f xml:space="preserve">  Time!AS$28</f>
        <v>36</v>
      </c>
      <c r="AT74" s="9">
        <f xml:space="preserve">  Time!AT$28</f>
        <v>37</v>
      </c>
      <c r="AU74" s="9">
        <f xml:space="preserve">  Time!AU$28</f>
        <v>38</v>
      </c>
      <c r="AV74" s="9">
        <f xml:space="preserve">  Time!AV$28</f>
        <v>39</v>
      </c>
      <c r="AW74" s="9">
        <f xml:space="preserve">  Time!AW$28</f>
        <v>40</v>
      </c>
      <c r="AX74" s="9">
        <f xml:space="preserve">  Time!AX$28</f>
        <v>41</v>
      </c>
      <c r="AY74" s="9">
        <f xml:space="preserve">  Time!AY$28</f>
        <v>42</v>
      </c>
      <c r="AZ74" s="9">
        <f xml:space="preserve">  Time!AZ$28</f>
        <v>43</v>
      </c>
      <c r="BA74" s="9">
        <f xml:space="preserve">  Time!BA$28</f>
        <v>44</v>
      </c>
      <c r="BB74" s="9">
        <f xml:space="preserve">  Time!BB$28</f>
        <v>45</v>
      </c>
      <c r="BC74" s="9">
        <f xml:space="preserve">  Time!BC$28</f>
        <v>46</v>
      </c>
      <c r="BD74" s="9">
        <f xml:space="preserve">  Time!BD$28</f>
        <v>47</v>
      </c>
      <c r="BE74" s="9">
        <f xml:space="preserve">  Time!BE$28</f>
        <v>48</v>
      </c>
      <c r="BF74" s="9">
        <f xml:space="preserve">  Time!BF$28</f>
        <v>49</v>
      </c>
      <c r="BG74" s="9">
        <f xml:space="preserve">  Time!BG$28</f>
        <v>50</v>
      </c>
      <c r="BH74" s="9">
        <f xml:space="preserve">  Time!BH$28</f>
        <v>51</v>
      </c>
      <c r="BI74" s="9">
        <f xml:space="preserve">  Time!BI$28</f>
        <v>52</v>
      </c>
      <c r="BJ74" s="9">
        <f xml:space="preserve">  Time!BJ$28</f>
        <v>53</v>
      </c>
      <c r="BK74" s="9">
        <f xml:space="preserve">  Time!BK$28</f>
        <v>54</v>
      </c>
      <c r="BL74" s="9">
        <f xml:space="preserve">  Time!BL$28</f>
        <v>55</v>
      </c>
      <c r="BM74" s="9">
        <f xml:space="preserve">  Time!BM$28</f>
        <v>56</v>
      </c>
      <c r="BN74" s="9">
        <f xml:space="preserve">  Time!BN$28</f>
        <v>57</v>
      </c>
      <c r="BO74" s="9">
        <f xml:space="preserve">  Time!BO$28</f>
        <v>58</v>
      </c>
      <c r="BP74" s="9">
        <f xml:space="preserve">  Time!BP$28</f>
        <v>59</v>
      </c>
      <c r="BQ74" s="9">
        <f xml:space="preserve">  Time!BQ$28</f>
        <v>60</v>
      </c>
    </row>
    <row r="75" spans="1:69" outlineLevel="1">
      <c r="E75" s="47" t="s">
        <v>154</v>
      </c>
      <c r="G75" s="47" t="s">
        <v>257</v>
      </c>
      <c r="J75" s="2">
        <f t="shared" ref="J75:BQ75" si="27" xml:space="preserve">  I78</f>
        <v>0</v>
      </c>
      <c r="K75" s="2">
        <f t="shared" ca="1" si="27"/>
        <v>0</v>
      </c>
      <c r="L75" s="2">
        <f t="shared" ca="1" si="27"/>
        <v>0</v>
      </c>
      <c r="M75" s="2">
        <f t="shared" ca="1" si="27"/>
        <v>0</v>
      </c>
      <c r="N75" s="2">
        <f t="shared" ca="1" si="27"/>
        <v>0</v>
      </c>
      <c r="O75" s="2">
        <f t="shared" ca="1" si="27"/>
        <v>0</v>
      </c>
      <c r="P75" s="2">
        <f t="shared" ca="1" si="27"/>
        <v>0</v>
      </c>
      <c r="Q75" s="2">
        <f t="shared" ca="1" si="27"/>
        <v>36589.187229040661</v>
      </c>
      <c r="R75" s="2">
        <f t="shared" ca="1" si="27"/>
        <v>80343.088568888634</v>
      </c>
      <c r="S75" s="2">
        <f t="shared" ca="1" si="27"/>
        <v>138096.98990873661</v>
      </c>
      <c r="T75" s="2">
        <f t="shared" ca="1" si="27"/>
        <v>195723.33616804826</v>
      </c>
      <c r="U75" s="2">
        <f t="shared" ca="1" si="27"/>
        <v>323349.68242735992</v>
      </c>
      <c r="V75" s="2">
        <f t="shared" ca="1" si="27"/>
        <v>450976.02868667158</v>
      </c>
      <c r="W75" s="2">
        <f t="shared" ca="1" si="27"/>
        <v>645978.57872358116</v>
      </c>
      <c r="X75" s="2">
        <f t="shared" ca="1" si="27"/>
        <v>896416.38099716289</v>
      </c>
      <c r="Y75" s="2">
        <f t="shared" ca="1" si="27"/>
        <v>1155969.6821670486</v>
      </c>
      <c r="Z75" s="2">
        <f t="shared" ca="1" si="27"/>
        <v>325438.66699015209</v>
      </c>
      <c r="AA75" s="2">
        <f t="shared" ca="1" si="27"/>
        <v>648741.11518224888</v>
      </c>
      <c r="AB75" s="2">
        <f t="shared" ca="1" si="27"/>
        <v>968709.86762981722</v>
      </c>
      <c r="AC75" s="2">
        <f t="shared" ca="1" si="27"/>
        <v>1285009.888752877</v>
      </c>
      <c r="AD75" s="2">
        <f t="shared" ca="1" si="27"/>
        <v>1597567.962922093</v>
      </c>
      <c r="AE75" s="2">
        <f t="shared" ca="1" si="27"/>
        <v>1906161.5823926614</v>
      </c>
      <c r="AF75" s="2">
        <f t="shared" ca="1" si="27"/>
        <v>2245414.431546838</v>
      </c>
      <c r="AG75" s="2">
        <f t="shared" ca="1" si="27"/>
        <v>2615217.3307595411</v>
      </c>
      <c r="AH75" s="2">
        <f t="shared" ca="1" si="27"/>
        <v>3015305.6722375061</v>
      </c>
      <c r="AI75" s="2">
        <f t="shared" ca="1" si="27"/>
        <v>3465700.2461692989</v>
      </c>
      <c r="AJ75" s="2">
        <f t="shared" ca="1" si="27"/>
        <v>3938802.9079692853</v>
      </c>
      <c r="AK75" s="2">
        <f t="shared" ca="1" si="27"/>
        <v>4469298.9841670301</v>
      </c>
      <c r="AL75" s="2">
        <f t="shared" ca="1" si="27"/>
        <v>552409.1273615323</v>
      </c>
      <c r="AM75" s="2">
        <f t="shared" ca="1" si="27"/>
        <v>1132405.0751639511</v>
      </c>
      <c r="AN75" s="2">
        <f t="shared" ca="1" si="27"/>
        <v>1754733.6314773127</v>
      </c>
      <c r="AO75" s="2">
        <f t="shared" ca="1" si="27"/>
        <v>2418847.7838962418</v>
      </c>
      <c r="AP75" s="2">
        <f t="shared" ca="1" si="27"/>
        <v>3095358.0424074833</v>
      </c>
      <c r="AQ75" s="2">
        <f t="shared" ca="1" si="27"/>
        <v>3833939.3915214296</v>
      </c>
      <c r="AR75" s="2">
        <f t="shared" ca="1" si="27"/>
        <v>4598965.7582233911</v>
      </c>
      <c r="AS75" s="2">
        <f t="shared" ca="1" si="27"/>
        <v>5425092.2250424046</v>
      </c>
      <c r="AT75" s="2">
        <f t="shared" ca="1" si="27"/>
        <v>6311789.5763919428</v>
      </c>
      <c r="AU75" s="2">
        <f t="shared" ca="1" si="27"/>
        <v>7289015.4291087352</v>
      </c>
      <c r="AV75" s="2">
        <f t="shared" ca="1" si="27"/>
        <v>8318989.9254117729</v>
      </c>
      <c r="AW75" s="2">
        <f t="shared" ca="1" si="27"/>
        <v>9433606.0379642248</v>
      </c>
      <c r="AX75" s="2">
        <f t="shared" ca="1" si="27"/>
        <v>1230804.2380511686</v>
      </c>
      <c r="AY75" s="2">
        <f t="shared" ca="1" si="27"/>
        <v>2539470.791286557</v>
      </c>
      <c r="AZ75" s="2">
        <f t="shared" ca="1" si="27"/>
        <v>3957304.760690697</v>
      </c>
      <c r="BA75" s="2">
        <f t="shared" ca="1" si="27"/>
        <v>5480225.8980286587</v>
      </c>
      <c r="BB75" s="2">
        <f t="shared" ca="1" si="27"/>
        <v>7104252.4584738994</v>
      </c>
      <c r="BC75" s="2">
        <f t="shared" ca="1" si="27"/>
        <v>8824990.4418280069</v>
      </c>
      <c r="BD75" s="2">
        <f t="shared" ca="1" si="27"/>
        <v>10672614.55275248</v>
      </c>
      <c r="BE75" s="2">
        <f t="shared" ca="1" si="27"/>
        <v>12642362.707076013</v>
      </c>
      <c r="BF75" s="2">
        <f t="shared" ca="1" si="27"/>
        <v>14764009.528499331</v>
      </c>
      <c r="BG75" s="2">
        <f t="shared" ca="1" si="27"/>
        <v>17025550.839065265</v>
      </c>
      <c r="BH75" s="2">
        <f t="shared" ca="1" si="27"/>
        <v>19421289.436803691</v>
      </c>
      <c r="BI75" s="2">
        <f t="shared" ca="1" si="27"/>
        <v>21980011.267040946</v>
      </c>
      <c r="BJ75" s="2">
        <f t="shared" ca="1" si="27"/>
        <v>2714943.5978658721</v>
      </c>
      <c r="BK75" s="2">
        <f t="shared" ca="1" si="27"/>
        <v>5601711.8261001837</v>
      </c>
      <c r="BL75" s="2">
        <f t="shared" ca="1" si="27"/>
        <v>8652914.8866719976</v>
      </c>
      <c r="BM75" s="2">
        <f t="shared" ca="1" si="27"/>
        <v>11895541.334824042</v>
      </c>
      <c r="BN75" s="2">
        <f t="shared" ca="1" si="27"/>
        <v>15308878.629190644</v>
      </c>
      <c r="BO75" s="2">
        <f t="shared" ca="1" si="27"/>
        <v>18919138.769374978</v>
      </c>
      <c r="BP75" s="2">
        <f t="shared" ca="1" si="27"/>
        <v>22751825.840136867</v>
      </c>
      <c r="BQ75" s="2">
        <f t="shared" ca="1" si="27"/>
        <v>26797260.997696877</v>
      </c>
    </row>
    <row r="76" spans="1:69" outlineLevel="1">
      <c r="D76" s="94" t="s">
        <v>220</v>
      </c>
      <c r="E76" s="2" t="str">
        <f t="shared" ref="E76:BQ76" si="28" xml:space="preserve">  E$47</f>
        <v>Corporation tax POS</v>
      </c>
      <c r="F76" s="2">
        <f t="shared" si="28"/>
        <v>0</v>
      </c>
      <c r="G76" s="2" t="str">
        <f t="shared" si="28"/>
        <v>GBP</v>
      </c>
      <c r="H76" s="2">
        <f t="shared" ca="1" si="28"/>
        <v>68118879.460795701</v>
      </c>
      <c r="I76" s="2">
        <f t="shared" si="28"/>
        <v>0</v>
      </c>
      <c r="J76" s="2">
        <f t="shared" ca="1" si="28"/>
        <v>0</v>
      </c>
      <c r="K76" s="2">
        <f t="shared" ca="1" si="28"/>
        <v>0</v>
      </c>
      <c r="L76" s="2">
        <f t="shared" ca="1" si="28"/>
        <v>0</v>
      </c>
      <c r="M76" s="2">
        <f t="shared" ca="1" si="28"/>
        <v>0</v>
      </c>
      <c r="N76" s="2">
        <f t="shared" ca="1" si="28"/>
        <v>0</v>
      </c>
      <c r="O76" s="2">
        <f t="shared" ca="1" si="28"/>
        <v>0</v>
      </c>
      <c r="P76" s="2">
        <f t="shared" ca="1" si="28"/>
        <v>36589.187229040661</v>
      </c>
      <c r="Q76" s="2">
        <f t="shared" ca="1" si="28"/>
        <v>43753.901339847973</v>
      </c>
      <c r="R76" s="2">
        <f t="shared" ca="1" si="28"/>
        <v>57753.901339847973</v>
      </c>
      <c r="S76" s="2">
        <f t="shared" ca="1" si="28"/>
        <v>57626.346259311656</v>
      </c>
      <c r="T76" s="2">
        <f t="shared" ca="1" si="28"/>
        <v>127626.34625931166</v>
      </c>
      <c r="U76" s="2">
        <f t="shared" ca="1" si="28"/>
        <v>127626.34625931166</v>
      </c>
      <c r="V76" s="2">
        <f t="shared" ca="1" si="28"/>
        <v>195002.55003690961</v>
      </c>
      <c r="W76" s="2">
        <f t="shared" ca="1" si="28"/>
        <v>250437.80227358171</v>
      </c>
      <c r="X76" s="2">
        <f t="shared" ca="1" si="28"/>
        <v>259553.3011698857</v>
      </c>
      <c r="Y76" s="2">
        <f t="shared" ca="1" si="28"/>
        <v>325438.66699015221</v>
      </c>
      <c r="Z76" s="2">
        <f t="shared" ca="1" si="28"/>
        <v>323302.44819209684</v>
      </c>
      <c r="AA76" s="2">
        <f t="shared" ca="1" si="28"/>
        <v>319968.75244756829</v>
      </c>
      <c r="AB76" s="2">
        <f t="shared" ca="1" si="28"/>
        <v>316300.02112305979</v>
      </c>
      <c r="AC76" s="2">
        <f t="shared" ca="1" si="28"/>
        <v>312558.07416921604</v>
      </c>
      <c r="AD76" s="2">
        <f t="shared" ca="1" si="28"/>
        <v>308593.61947056837</v>
      </c>
      <c r="AE76" s="2">
        <f t="shared" ca="1" si="28"/>
        <v>339252.84915417666</v>
      </c>
      <c r="AF76" s="2">
        <f t="shared" ca="1" si="28"/>
        <v>369802.89921270288</v>
      </c>
      <c r="AG76" s="2">
        <f t="shared" ca="1" si="28"/>
        <v>400088.34147796518</v>
      </c>
      <c r="AH76" s="2">
        <f t="shared" ca="1" si="28"/>
        <v>450394.57393179298</v>
      </c>
      <c r="AI76" s="2">
        <f t="shared" ca="1" si="28"/>
        <v>473102.66179998638</v>
      </c>
      <c r="AJ76" s="2">
        <f t="shared" ca="1" si="28"/>
        <v>530496.07619774516</v>
      </c>
      <c r="AK76" s="2">
        <f t="shared" ca="1" si="28"/>
        <v>552409.12736153218</v>
      </c>
      <c r="AL76" s="2">
        <f t="shared" ca="1" si="28"/>
        <v>579995.94780241873</v>
      </c>
      <c r="AM76" s="2">
        <f t="shared" ca="1" si="28"/>
        <v>622328.55631336151</v>
      </c>
      <c r="AN76" s="2">
        <f t="shared" ca="1" si="28"/>
        <v>664114.15241892904</v>
      </c>
      <c r="AO76" s="2">
        <f t="shared" ca="1" si="28"/>
        <v>676510.25851124153</v>
      </c>
      <c r="AP76" s="2">
        <f t="shared" ca="1" si="28"/>
        <v>738581.34911394631</v>
      </c>
      <c r="AQ76" s="2">
        <f t="shared" ca="1" si="28"/>
        <v>765026.36670196126</v>
      </c>
      <c r="AR76" s="2">
        <f t="shared" ca="1" si="28"/>
        <v>826126.46681901382</v>
      </c>
      <c r="AS76" s="2">
        <f t="shared" ca="1" si="28"/>
        <v>886697.35134953842</v>
      </c>
      <c r="AT76" s="2">
        <f t="shared" ca="1" si="28"/>
        <v>977225.85271679226</v>
      </c>
      <c r="AU76" s="2">
        <f t="shared" ca="1" si="28"/>
        <v>1029974.496303038</v>
      </c>
      <c r="AV76" s="2">
        <f t="shared" ca="1" si="28"/>
        <v>1114616.1125524517</v>
      </c>
      <c r="AW76" s="2">
        <f t="shared" ca="1" si="28"/>
        <v>1230804.2380511677</v>
      </c>
      <c r="AX76" s="2">
        <f t="shared" ca="1" si="28"/>
        <v>1308666.5532353884</v>
      </c>
      <c r="AY76" s="2">
        <f t="shared" ca="1" si="28"/>
        <v>1417833.96940414</v>
      </c>
      <c r="AZ76" s="2">
        <f t="shared" ca="1" si="28"/>
        <v>1522921.1373379619</v>
      </c>
      <c r="BA76" s="2">
        <f t="shared" ca="1" si="28"/>
        <v>1624026.5604452407</v>
      </c>
      <c r="BB76" s="2">
        <f t="shared" ca="1" si="28"/>
        <v>1720737.983354107</v>
      </c>
      <c r="BC76" s="2">
        <f t="shared" ca="1" si="28"/>
        <v>1847624.1109244723</v>
      </c>
      <c r="BD76" s="2">
        <f t="shared" ca="1" si="28"/>
        <v>1969748.1543235325</v>
      </c>
      <c r="BE76" s="2">
        <f t="shared" ca="1" si="28"/>
        <v>2121646.8214233178</v>
      </c>
      <c r="BF76" s="2">
        <f t="shared" ca="1" si="28"/>
        <v>2261541.3105659331</v>
      </c>
      <c r="BG76" s="2">
        <f t="shared" ca="1" si="28"/>
        <v>2395738.5977384252</v>
      </c>
      <c r="BH76" s="2">
        <f t="shared" ca="1" si="28"/>
        <v>2558721.8302372526</v>
      </c>
      <c r="BI76" s="2">
        <f t="shared" ca="1" si="28"/>
        <v>2714943.5978658702</v>
      </c>
      <c r="BJ76" s="2">
        <f t="shared" ca="1" si="28"/>
        <v>2886768.2282343116</v>
      </c>
      <c r="BK76" s="2">
        <f t="shared" ca="1" si="28"/>
        <v>3051203.0605718144</v>
      </c>
      <c r="BL76" s="2">
        <f t="shared" ca="1" si="28"/>
        <v>3242626.4481520443</v>
      </c>
      <c r="BM76" s="2">
        <f t="shared" ca="1" si="28"/>
        <v>3413337.2943666014</v>
      </c>
      <c r="BN76" s="2">
        <f t="shared" ca="1" si="28"/>
        <v>3610260.140184334</v>
      </c>
      <c r="BO76" s="2">
        <f t="shared" ca="1" si="28"/>
        <v>3832687.0707618888</v>
      </c>
      <c r="BP76" s="2">
        <f t="shared" ca="1" si="28"/>
        <v>4045435.1575600081</v>
      </c>
      <c r="BQ76" s="2">
        <f t="shared" ca="1" si="28"/>
        <v>4282732.4917595787</v>
      </c>
    </row>
    <row r="77" spans="1:69" outlineLevel="1">
      <c r="D77" s="94" t="s">
        <v>299</v>
      </c>
      <c r="E77" s="2" t="str">
        <f t="shared" ref="E77:BQ77" si="29" xml:space="preserve">  E$68</f>
        <v>Corporation tax paid POS</v>
      </c>
      <c r="F77" s="2">
        <f t="shared" si="29"/>
        <v>0</v>
      </c>
      <c r="G77" s="2" t="str">
        <f t="shared" si="29"/>
        <v>GBP</v>
      </c>
      <c r="H77" s="2">
        <f t="shared" ca="1" si="29"/>
        <v>37038885.971339248</v>
      </c>
      <c r="I77" s="2">
        <f t="shared" si="29"/>
        <v>0</v>
      </c>
      <c r="J77" s="2">
        <f t="shared" si="29"/>
        <v>0</v>
      </c>
      <c r="K77" s="2">
        <f t="shared" ca="1" si="29"/>
        <v>0</v>
      </c>
      <c r="L77" s="2">
        <f t="shared" ca="1" si="29"/>
        <v>0</v>
      </c>
      <c r="M77" s="2">
        <f t="shared" ca="1" si="29"/>
        <v>0</v>
      </c>
      <c r="N77" s="2">
        <f t="shared" ca="1" si="29"/>
        <v>0</v>
      </c>
      <c r="O77" s="2">
        <f t="shared" ca="1" si="29"/>
        <v>0</v>
      </c>
      <c r="P77" s="2">
        <f t="shared" ca="1" si="29"/>
        <v>0</v>
      </c>
      <c r="Q77" s="2">
        <f t="shared" ca="1" si="29"/>
        <v>0</v>
      </c>
      <c r="R77" s="2">
        <f t="shared" ca="1" si="29"/>
        <v>0</v>
      </c>
      <c r="S77" s="2">
        <f t="shared" ca="1" si="29"/>
        <v>0</v>
      </c>
      <c r="T77" s="2">
        <f t="shared" ca="1" si="29"/>
        <v>0</v>
      </c>
      <c r="U77" s="2">
        <f t="shared" ca="1" si="29"/>
        <v>0</v>
      </c>
      <c r="V77" s="2">
        <f t="shared" ca="1" si="29"/>
        <v>0</v>
      </c>
      <c r="W77" s="2">
        <f t="shared" ca="1" si="29"/>
        <v>0</v>
      </c>
      <c r="X77" s="2">
        <f t="shared" ca="1" si="29"/>
        <v>0</v>
      </c>
      <c r="Y77" s="2">
        <f t="shared" ca="1" si="29"/>
        <v>1155969.6821670486</v>
      </c>
      <c r="Z77" s="2">
        <f t="shared" ca="1" si="29"/>
        <v>0</v>
      </c>
      <c r="AA77" s="2">
        <f t="shared" ca="1" si="29"/>
        <v>0</v>
      </c>
      <c r="AB77" s="2">
        <f t="shared" ca="1" si="29"/>
        <v>0</v>
      </c>
      <c r="AC77" s="2">
        <f t="shared" ca="1" si="29"/>
        <v>0</v>
      </c>
      <c r="AD77" s="2">
        <f t="shared" ca="1" si="29"/>
        <v>0</v>
      </c>
      <c r="AE77" s="2">
        <f t="shared" ca="1" si="29"/>
        <v>0</v>
      </c>
      <c r="AF77" s="2">
        <f t="shared" ca="1" si="29"/>
        <v>0</v>
      </c>
      <c r="AG77" s="2">
        <f t="shared" ca="1" si="29"/>
        <v>0</v>
      </c>
      <c r="AH77" s="2">
        <f t="shared" ca="1" si="29"/>
        <v>0</v>
      </c>
      <c r="AI77" s="2">
        <f t="shared" ca="1" si="29"/>
        <v>0</v>
      </c>
      <c r="AJ77" s="2">
        <f t="shared" ca="1" si="29"/>
        <v>0</v>
      </c>
      <c r="AK77" s="2">
        <f t="shared" ca="1" si="29"/>
        <v>4469298.9841670301</v>
      </c>
      <c r="AL77" s="2">
        <f t="shared" ca="1" si="29"/>
        <v>0</v>
      </c>
      <c r="AM77" s="2">
        <f t="shared" ca="1" si="29"/>
        <v>0</v>
      </c>
      <c r="AN77" s="2">
        <f t="shared" ca="1" si="29"/>
        <v>0</v>
      </c>
      <c r="AO77" s="2">
        <f t="shared" ca="1" si="29"/>
        <v>0</v>
      </c>
      <c r="AP77" s="2">
        <f t="shared" ca="1" si="29"/>
        <v>0</v>
      </c>
      <c r="AQ77" s="2">
        <f t="shared" ca="1" si="29"/>
        <v>0</v>
      </c>
      <c r="AR77" s="2">
        <f t="shared" ca="1" si="29"/>
        <v>0</v>
      </c>
      <c r="AS77" s="2">
        <f t="shared" ca="1" si="29"/>
        <v>0</v>
      </c>
      <c r="AT77" s="2">
        <f t="shared" ca="1" si="29"/>
        <v>0</v>
      </c>
      <c r="AU77" s="2">
        <f t="shared" ca="1" si="29"/>
        <v>0</v>
      </c>
      <c r="AV77" s="2">
        <f t="shared" ca="1" si="29"/>
        <v>0</v>
      </c>
      <c r="AW77" s="2">
        <f t="shared" ca="1" si="29"/>
        <v>9433606.0379642248</v>
      </c>
      <c r="AX77" s="2">
        <f t="shared" ca="1" si="29"/>
        <v>0</v>
      </c>
      <c r="AY77" s="2">
        <f t="shared" ca="1" si="29"/>
        <v>0</v>
      </c>
      <c r="AZ77" s="2">
        <f t="shared" ca="1" si="29"/>
        <v>0</v>
      </c>
      <c r="BA77" s="2">
        <f t="shared" ca="1" si="29"/>
        <v>0</v>
      </c>
      <c r="BB77" s="2">
        <f t="shared" ca="1" si="29"/>
        <v>0</v>
      </c>
      <c r="BC77" s="2">
        <f t="shared" ca="1" si="29"/>
        <v>0</v>
      </c>
      <c r="BD77" s="2">
        <f t="shared" ca="1" si="29"/>
        <v>0</v>
      </c>
      <c r="BE77" s="2">
        <f t="shared" ca="1" si="29"/>
        <v>0</v>
      </c>
      <c r="BF77" s="2">
        <f t="shared" ca="1" si="29"/>
        <v>0</v>
      </c>
      <c r="BG77" s="2">
        <f t="shared" ca="1" si="29"/>
        <v>0</v>
      </c>
      <c r="BH77" s="2">
        <f t="shared" ca="1" si="29"/>
        <v>0</v>
      </c>
      <c r="BI77" s="2">
        <f t="shared" ca="1" si="29"/>
        <v>21980011.267040946</v>
      </c>
      <c r="BJ77" s="2">
        <f t="shared" ca="1" si="29"/>
        <v>0</v>
      </c>
      <c r="BK77" s="2">
        <f t="shared" ca="1" si="29"/>
        <v>0</v>
      </c>
      <c r="BL77" s="2">
        <f t="shared" ca="1" si="29"/>
        <v>0</v>
      </c>
      <c r="BM77" s="2">
        <f t="shared" ca="1" si="29"/>
        <v>0</v>
      </c>
      <c r="BN77" s="2">
        <f t="shared" ca="1" si="29"/>
        <v>0</v>
      </c>
      <c r="BO77" s="2">
        <f t="shared" ca="1" si="29"/>
        <v>0</v>
      </c>
      <c r="BP77" s="2">
        <f t="shared" ca="1" si="29"/>
        <v>0</v>
      </c>
      <c r="BQ77" s="2">
        <f t="shared" ca="1" si="29"/>
        <v>0</v>
      </c>
    </row>
    <row r="78" spans="1:69" s="86" customFormat="1" outlineLevel="1">
      <c r="A78" s="63"/>
      <c r="B78" s="63"/>
      <c r="C78" s="89"/>
      <c r="D78" s="91"/>
      <c r="E78" s="33" t="s">
        <v>226</v>
      </c>
      <c r="F78" s="33"/>
      <c r="G78" s="33" t="s">
        <v>257</v>
      </c>
      <c r="H78" s="33"/>
      <c r="I78" s="11">
        <f t="shared" ref="I78:BQ78" si="30" xml:space="preserve">  IF( I74 = 0, $F73, I75 + I76 - I77 )</f>
        <v>0</v>
      </c>
      <c r="J78" s="11">
        <f t="shared" ca="1" si="30"/>
        <v>0</v>
      </c>
      <c r="K78" s="11">
        <f t="shared" ca="1" si="30"/>
        <v>0</v>
      </c>
      <c r="L78" s="11">
        <f t="shared" ca="1" si="30"/>
        <v>0</v>
      </c>
      <c r="M78" s="11">
        <f t="shared" ca="1" si="30"/>
        <v>0</v>
      </c>
      <c r="N78" s="11">
        <f t="shared" ca="1" si="30"/>
        <v>0</v>
      </c>
      <c r="O78" s="11">
        <f t="shared" ca="1" si="30"/>
        <v>0</v>
      </c>
      <c r="P78" s="11">
        <f t="shared" ca="1" si="30"/>
        <v>36589.187229040661</v>
      </c>
      <c r="Q78" s="11">
        <f t="shared" ca="1" si="30"/>
        <v>80343.088568888634</v>
      </c>
      <c r="R78" s="11">
        <f t="shared" ca="1" si="30"/>
        <v>138096.98990873661</v>
      </c>
      <c r="S78" s="11">
        <f t="shared" ca="1" si="30"/>
        <v>195723.33616804826</v>
      </c>
      <c r="T78" s="11">
        <f t="shared" ca="1" si="30"/>
        <v>323349.68242735992</v>
      </c>
      <c r="U78" s="11">
        <f t="shared" ca="1" si="30"/>
        <v>450976.02868667158</v>
      </c>
      <c r="V78" s="11">
        <f t="shared" ca="1" si="30"/>
        <v>645978.57872358116</v>
      </c>
      <c r="W78" s="11">
        <f t="shared" ca="1" si="30"/>
        <v>896416.38099716289</v>
      </c>
      <c r="X78" s="11">
        <f t="shared" ca="1" si="30"/>
        <v>1155969.6821670486</v>
      </c>
      <c r="Y78" s="11">
        <f t="shared" ca="1" si="30"/>
        <v>325438.66699015209</v>
      </c>
      <c r="Z78" s="11">
        <f t="shared" ca="1" si="30"/>
        <v>648741.11518224888</v>
      </c>
      <c r="AA78" s="11">
        <f t="shared" ca="1" si="30"/>
        <v>968709.86762981722</v>
      </c>
      <c r="AB78" s="11">
        <f t="shared" ca="1" si="30"/>
        <v>1285009.888752877</v>
      </c>
      <c r="AC78" s="11">
        <f t="shared" ca="1" si="30"/>
        <v>1597567.962922093</v>
      </c>
      <c r="AD78" s="11">
        <f t="shared" ca="1" si="30"/>
        <v>1906161.5823926614</v>
      </c>
      <c r="AE78" s="11">
        <f t="shared" ca="1" si="30"/>
        <v>2245414.431546838</v>
      </c>
      <c r="AF78" s="11">
        <f t="shared" ca="1" si="30"/>
        <v>2615217.3307595411</v>
      </c>
      <c r="AG78" s="11">
        <f t="shared" ca="1" si="30"/>
        <v>3015305.6722375061</v>
      </c>
      <c r="AH78" s="11">
        <f t="shared" ca="1" si="30"/>
        <v>3465700.2461692989</v>
      </c>
      <c r="AI78" s="11">
        <f t="shared" ca="1" si="30"/>
        <v>3938802.9079692853</v>
      </c>
      <c r="AJ78" s="11">
        <f t="shared" ca="1" si="30"/>
        <v>4469298.9841670301</v>
      </c>
      <c r="AK78" s="11">
        <f t="shared" ca="1" si="30"/>
        <v>552409.1273615323</v>
      </c>
      <c r="AL78" s="11">
        <f t="shared" ca="1" si="30"/>
        <v>1132405.0751639511</v>
      </c>
      <c r="AM78" s="11">
        <f t="shared" ca="1" si="30"/>
        <v>1754733.6314773127</v>
      </c>
      <c r="AN78" s="11">
        <f t="shared" ca="1" si="30"/>
        <v>2418847.7838962418</v>
      </c>
      <c r="AO78" s="11">
        <f t="shared" ca="1" si="30"/>
        <v>3095358.0424074833</v>
      </c>
      <c r="AP78" s="11">
        <f t="shared" ca="1" si="30"/>
        <v>3833939.3915214296</v>
      </c>
      <c r="AQ78" s="11">
        <f t="shared" ca="1" si="30"/>
        <v>4598965.7582233911</v>
      </c>
      <c r="AR78" s="11">
        <f t="shared" ca="1" si="30"/>
        <v>5425092.2250424046</v>
      </c>
      <c r="AS78" s="11">
        <f t="shared" ca="1" si="30"/>
        <v>6311789.5763919428</v>
      </c>
      <c r="AT78" s="11">
        <f t="shared" ca="1" si="30"/>
        <v>7289015.4291087352</v>
      </c>
      <c r="AU78" s="11">
        <f t="shared" ca="1" si="30"/>
        <v>8318989.9254117729</v>
      </c>
      <c r="AV78" s="11">
        <f t="shared" ca="1" si="30"/>
        <v>9433606.0379642248</v>
      </c>
      <c r="AW78" s="11">
        <f t="shared" ca="1" si="30"/>
        <v>1230804.2380511686</v>
      </c>
      <c r="AX78" s="11">
        <f t="shared" ca="1" si="30"/>
        <v>2539470.791286557</v>
      </c>
      <c r="AY78" s="11">
        <f t="shared" ca="1" si="30"/>
        <v>3957304.760690697</v>
      </c>
      <c r="AZ78" s="11">
        <f t="shared" ca="1" si="30"/>
        <v>5480225.8980286587</v>
      </c>
      <c r="BA78" s="11">
        <f t="shared" ca="1" si="30"/>
        <v>7104252.4584738994</v>
      </c>
      <c r="BB78" s="11">
        <f t="shared" ca="1" si="30"/>
        <v>8824990.4418280069</v>
      </c>
      <c r="BC78" s="11">
        <f t="shared" ca="1" si="30"/>
        <v>10672614.55275248</v>
      </c>
      <c r="BD78" s="11">
        <f t="shared" ca="1" si="30"/>
        <v>12642362.707076013</v>
      </c>
      <c r="BE78" s="11">
        <f t="shared" ca="1" si="30"/>
        <v>14764009.528499331</v>
      </c>
      <c r="BF78" s="11">
        <f t="shared" ca="1" si="30"/>
        <v>17025550.839065265</v>
      </c>
      <c r="BG78" s="11">
        <f t="shared" ca="1" si="30"/>
        <v>19421289.436803691</v>
      </c>
      <c r="BH78" s="11">
        <f t="shared" ca="1" si="30"/>
        <v>21980011.267040946</v>
      </c>
      <c r="BI78" s="11">
        <f t="shared" ca="1" si="30"/>
        <v>2714943.5978658721</v>
      </c>
      <c r="BJ78" s="11">
        <f t="shared" ca="1" si="30"/>
        <v>5601711.8261001837</v>
      </c>
      <c r="BK78" s="11">
        <f t="shared" ca="1" si="30"/>
        <v>8652914.8866719976</v>
      </c>
      <c r="BL78" s="11">
        <f t="shared" ca="1" si="30"/>
        <v>11895541.334824042</v>
      </c>
      <c r="BM78" s="11">
        <f t="shared" ca="1" si="30"/>
        <v>15308878.629190644</v>
      </c>
      <c r="BN78" s="11">
        <f t="shared" ca="1" si="30"/>
        <v>18919138.769374978</v>
      </c>
      <c r="BO78" s="11">
        <f t="shared" ca="1" si="30"/>
        <v>22751825.840136867</v>
      </c>
      <c r="BP78" s="11">
        <f t="shared" ca="1" si="30"/>
        <v>26797260.997696877</v>
      </c>
      <c r="BQ78" s="11">
        <f t="shared" ca="1" si="30"/>
        <v>31079993.489456456</v>
      </c>
    </row>
    <row r="80" spans="1:69">
      <c r="B80" s="25" t="s">
        <v>304</v>
      </c>
    </row>
    <row r="81" spans="1:69" outlineLevel="1">
      <c r="E81" s="2" t="str">
        <f t="shared" ref="E81:BQ81" si="31" xml:space="preserve">  E$47</f>
        <v>Corporation tax POS</v>
      </c>
      <c r="F81" s="2">
        <f t="shared" si="31"/>
        <v>0</v>
      </c>
      <c r="G81" s="2" t="str">
        <f t="shared" si="31"/>
        <v>GBP</v>
      </c>
      <c r="H81" s="2">
        <f t="shared" ca="1" si="31"/>
        <v>68118879.460795701</v>
      </c>
      <c r="I81" s="2">
        <f t="shared" si="31"/>
        <v>0</v>
      </c>
      <c r="J81" s="2">
        <f t="shared" ca="1" si="31"/>
        <v>0</v>
      </c>
      <c r="K81" s="2">
        <f t="shared" ca="1" si="31"/>
        <v>0</v>
      </c>
      <c r="L81" s="2">
        <f t="shared" ca="1" si="31"/>
        <v>0</v>
      </c>
      <c r="M81" s="2">
        <f t="shared" ca="1" si="31"/>
        <v>0</v>
      </c>
      <c r="N81" s="2">
        <f t="shared" ca="1" si="31"/>
        <v>0</v>
      </c>
      <c r="O81" s="2">
        <f t="shared" ca="1" si="31"/>
        <v>0</v>
      </c>
      <c r="P81" s="2">
        <f t="shared" ca="1" si="31"/>
        <v>36589.187229040661</v>
      </c>
      <c r="Q81" s="2">
        <f t="shared" ca="1" si="31"/>
        <v>43753.901339847973</v>
      </c>
      <c r="R81" s="2">
        <f t="shared" ca="1" si="31"/>
        <v>57753.901339847973</v>
      </c>
      <c r="S81" s="2">
        <f t="shared" ca="1" si="31"/>
        <v>57626.346259311656</v>
      </c>
      <c r="T81" s="2">
        <f t="shared" ca="1" si="31"/>
        <v>127626.34625931166</v>
      </c>
      <c r="U81" s="2">
        <f t="shared" ca="1" si="31"/>
        <v>127626.34625931166</v>
      </c>
      <c r="V81" s="2">
        <f t="shared" ca="1" si="31"/>
        <v>195002.55003690961</v>
      </c>
      <c r="W81" s="2">
        <f t="shared" ca="1" si="31"/>
        <v>250437.80227358171</v>
      </c>
      <c r="X81" s="2">
        <f t="shared" ca="1" si="31"/>
        <v>259553.3011698857</v>
      </c>
      <c r="Y81" s="2">
        <f t="shared" ca="1" si="31"/>
        <v>325438.66699015221</v>
      </c>
      <c r="Z81" s="2">
        <f t="shared" ca="1" si="31"/>
        <v>323302.44819209684</v>
      </c>
      <c r="AA81" s="2">
        <f t="shared" ca="1" si="31"/>
        <v>319968.75244756829</v>
      </c>
      <c r="AB81" s="2">
        <f t="shared" ca="1" si="31"/>
        <v>316300.02112305979</v>
      </c>
      <c r="AC81" s="2">
        <f t="shared" ca="1" si="31"/>
        <v>312558.07416921604</v>
      </c>
      <c r="AD81" s="2">
        <f t="shared" ca="1" si="31"/>
        <v>308593.61947056837</v>
      </c>
      <c r="AE81" s="2">
        <f t="shared" ca="1" si="31"/>
        <v>339252.84915417666</v>
      </c>
      <c r="AF81" s="2">
        <f t="shared" ca="1" si="31"/>
        <v>369802.89921270288</v>
      </c>
      <c r="AG81" s="2">
        <f t="shared" ca="1" si="31"/>
        <v>400088.34147796518</v>
      </c>
      <c r="AH81" s="2">
        <f t="shared" ca="1" si="31"/>
        <v>450394.57393179298</v>
      </c>
      <c r="AI81" s="2">
        <f t="shared" ca="1" si="31"/>
        <v>473102.66179998638</v>
      </c>
      <c r="AJ81" s="2">
        <f t="shared" ca="1" si="31"/>
        <v>530496.07619774516</v>
      </c>
      <c r="AK81" s="2">
        <f t="shared" ca="1" si="31"/>
        <v>552409.12736153218</v>
      </c>
      <c r="AL81" s="2">
        <f t="shared" ca="1" si="31"/>
        <v>579995.94780241873</v>
      </c>
      <c r="AM81" s="2">
        <f t="shared" ca="1" si="31"/>
        <v>622328.55631336151</v>
      </c>
      <c r="AN81" s="2">
        <f t="shared" ca="1" si="31"/>
        <v>664114.15241892904</v>
      </c>
      <c r="AO81" s="2">
        <f t="shared" ca="1" si="31"/>
        <v>676510.25851124153</v>
      </c>
      <c r="AP81" s="2">
        <f t="shared" ca="1" si="31"/>
        <v>738581.34911394631</v>
      </c>
      <c r="AQ81" s="2">
        <f t="shared" ca="1" si="31"/>
        <v>765026.36670196126</v>
      </c>
      <c r="AR81" s="2">
        <f t="shared" ca="1" si="31"/>
        <v>826126.46681901382</v>
      </c>
      <c r="AS81" s="2">
        <f t="shared" ca="1" si="31"/>
        <v>886697.35134953842</v>
      </c>
      <c r="AT81" s="2">
        <f t="shared" ca="1" si="31"/>
        <v>977225.85271679226</v>
      </c>
      <c r="AU81" s="2">
        <f t="shared" ca="1" si="31"/>
        <v>1029974.496303038</v>
      </c>
      <c r="AV81" s="2">
        <f t="shared" ca="1" si="31"/>
        <v>1114616.1125524517</v>
      </c>
      <c r="AW81" s="2">
        <f t="shared" ca="1" si="31"/>
        <v>1230804.2380511677</v>
      </c>
      <c r="AX81" s="2">
        <f t="shared" ca="1" si="31"/>
        <v>1308666.5532353884</v>
      </c>
      <c r="AY81" s="2">
        <f t="shared" ca="1" si="31"/>
        <v>1417833.96940414</v>
      </c>
      <c r="AZ81" s="2">
        <f t="shared" ca="1" si="31"/>
        <v>1522921.1373379619</v>
      </c>
      <c r="BA81" s="2">
        <f t="shared" ca="1" si="31"/>
        <v>1624026.5604452407</v>
      </c>
      <c r="BB81" s="2">
        <f t="shared" ca="1" si="31"/>
        <v>1720737.983354107</v>
      </c>
      <c r="BC81" s="2">
        <f t="shared" ca="1" si="31"/>
        <v>1847624.1109244723</v>
      </c>
      <c r="BD81" s="2">
        <f t="shared" ca="1" si="31"/>
        <v>1969748.1543235325</v>
      </c>
      <c r="BE81" s="2">
        <f t="shared" ca="1" si="31"/>
        <v>2121646.8214233178</v>
      </c>
      <c r="BF81" s="2">
        <f t="shared" ca="1" si="31"/>
        <v>2261541.3105659331</v>
      </c>
      <c r="BG81" s="2">
        <f t="shared" ca="1" si="31"/>
        <v>2395738.5977384252</v>
      </c>
      <c r="BH81" s="2">
        <f t="shared" ca="1" si="31"/>
        <v>2558721.8302372526</v>
      </c>
      <c r="BI81" s="2">
        <f t="shared" ca="1" si="31"/>
        <v>2714943.5978658702</v>
      </c>
      <c r="BJ81" s="2">
        <f t="shared" ca="1" si="31"/>
        <v>2886768.2282343116</v>
      </c>
      <c r="BK81" s="2">
        <f t="shared" ca="1" si="31"/>
        <v>3051203.0605718144</v>
      </c>
      <c r="BL81" s="2">
        <f t="shared" ca="1" si="31"/>
        <v>3242626.4481520443</v>
      </c>
      <c r="BM81" s="2">
        <f t="shared" ca="1" si="31"/>
        <v>3413337.2943666014</v>
      </c>
      <c r="BN81" s="2">
        <f t="shared" ca="1" si="31"/>
        <v>3610260.140184334</v>
      </c>
      <c r="BO81" s="2">
        <f t="shared" ca="1" si="31"/>
        <v>3832687.0707618888</v>
      </c>
      <c r="BP81" s="2">
        <f t="shared" ca="1" si="31"/>
        <v>4045435.1575600081</v>
      </c>
      <c r="BQ81" s="2">
        <f t="shared" ca="1" si="31"/>
        <v>4282732.4917595787</v>
      </c>
    </row>
    <row r="82" spans="1:69" outlineLevel="1">
      <c r="A82" s="18"/>
      <c r="B82" s="18"/>
      <c r="C82" s="28"/>
      <c r="D82" s="27"/>
      <c r="E82" s="4" t="str">
        <f xml:space="preserve">  'Income Statement'!E$19</f>
        <v>Profit before tax</v>
      </c>
      <c r="F82" s="4">
        <f xml:space="preserve">  'Income Statement'!F$19</f>
        <v>0</v>
      </c>
      <c r="G82" s="4" t="str">
        <f xml:space="preserve">  'Income Statement'!G$19</f>
        <v>GBP</v>
      </c>
      <c r="H82" s="4">
        <f ca="1" xml:space="preserve">  'Income Statement'!H$19</f>
        <v>323600885.07615185</v>
      </c>
      <c r="I82" s="4">
        <f xml:space="preserve">  'Income Statement'!I$19</f>
        <v>0</v>
      </c>
      <c r="J82" s="4">
        <f ca="1" xml:space="preserve">  'Income Statement'!J$19</f>
        <v>-67000</v>
      </c>
      <c r="K82" s="4">
        <f ca="1" xml:space="preserve">  'Income Statement'!K$19</f>
        <v>-74291.666666666672</v>
      </c>
      <c r="L82" s="4">
        <f ca="1" xml:space="preserve">  'Income Statement'!L$19</f>
        <v>10291.666666666668</v>
      </c>
      <c r="M82" s="4">
        <f ca="1" xml:space="preserve">  'Income Statement'!M$19</f>
        <v>44683.809815321147</v>
      </c>
      <c r="N82" s="4">
        <f ca="1" xml:space="preserve">  'Income Statement'!N$19</f>
        <v>-4316.1901846788505</v>
      </c>
      <c r="O82" s="4">
        <f ca="1" xml:space="preserve">  'Income Statement'!O$19</f>
        <v>1517.1431486544825</v>
      </c>
      <c r="P82" s="4">
        <f ca="1" xml:space="preserve">  'Income Statement'!P$19</f>
        <v>190477.84003257321</v>
      </c>
      <c r="Q82" s="4">
        <f ca="1" xml:space="preserve">  'Income Statement'!Q$19</f>
        <v>196894.50669923986</v>
      </c>
      <c r="R82" s="4">
        <f ca="1" xml:space="preserve">  'Income Statement'!R$19</f>
        <v>281477.84003257315</v>
      </c>
      <c r="S82" s="4">
        <f ca="1" xml:space="preserve">  'Income Statement'!S$19</f>
        <v>251673.39796322494</v>
      </c>
      <c r="T82" s="4">
        <f ca="1" xml:space="preserve">  'Income Statement'!T$19</f>
        <v>601673.39796322491</v>
      </c>
      <c r="U82" s="4">
        <f ca="1" xml:space="preserve">  'Income Statement'!U$19</f>
        <v>587090.06462989165</v>
      </c>
      <c r="V82" s="4">
        <f ca="1" xml:space="preserve">  'Income Statement'!V$19</f>
        <v>909387.75018454797</v>
      </c>
      <c r="W82" s="4">
        <f ca="1" xml:space="preserve">  'Income Statement'!W$19</f>
        <v>1186564.0113679084</v>
      </c>
      <c r="X82" s="4">
        <f ca="1" xml:space="preserve">  'Income Statement'!X$19</f>
        <v>1224849.8391827617</v>
      </c>
      <c r="Y82" s="4">
        <f ca="1" xml:space="preserve">  'Income Statement'!Y$19</f>
        <v>1554276.6682840942</v>
      </c>
      <c r="Z82" s="4">
        <f ca="1" xml:space="preserve">  'Income Statement'!Z$19</f>
        <v>1543595.5742938174</v>
      </c>
      <c r="AA82" s="4">
        <f ca="1" xml:space="preserve">  'Income Statement'!AA$19</f>
        <v>1534218.7622378413</v>
      </c>
      <c r="AB82" s="4">
        <f ca="1" xml:space="preserve">  'Income Statement'!AB$19</f>
        <v>1508583.438948632</v>
      </c>
      <c r="AC82" s="4">
        <f ca="1" xml:space="preserve">  'Income Statement'!AC$19</f>
        <v>1497165.3708460801</v>
      </c>
      <c r="AD82" s="4">
        <f ca="1" xml:space="preserve">  'Income Statement'!AD$19</f>
        <v>1462759.7640195086</v>
      </c>
      <c r="AE82" s="4">
        <f ca="1" xml:space="preserve">  'Income Statement'!AE$19</f>
        <v>1616055.9124375498</v>
      </c>
      <c r="AF82" s="4">
        <f ca="1" xml:space="preserve">  'Income Statement'!AF$19</f>
        <v>1761514.4960635144</v>
      </c>
      <c r="AG82" s="4">
        <f ca="1" xml:space="preserve">  'Income Statement'!AG$19</f>
        <v>1898358.3740564925</v>
      </c>
      <c r="AH82" s="4">
        <f ca="1" xml:space="preserve">  'Income Statement'!AH$19</f>
        <v>2142597.8696589647</v>
      </c>
      <c r="AI82" s="4">
        <f ca="1" xml:space="preserve">  'Income Statement'!AI$19</f>
        <v>2250304.9756665984</v>
      </c>
      <c r="AJ82" s="4">
        <f ca="1" xml:space="preserve">  'Income Statement'!AJ$19</f>
        <v>2524147.047655392</v>
      </c>
      <c r="AK82" s="4">
        <f ca="1" xml:space="preserve">  'Income Statement'!AK$19</f>
        <v>2627878.9701409945</v>
      </c>
      <c r="AL82" s="4">
        <f ca="1" xml:space="preserve">  'Income Statement'!AL$19</f>
        <v>2752688.0723454268</v>
      </c>
      <c r="AM82" s="4">
        <f ca="1" xml:space="preserve">  'Income Statement'!AM$19</f>
        <v>2961434.448233474</v>
      </c>
      <c r="AN82" s="4">
        <f ca="1" xml:space="preserve">  'Income Statement'!AN$19</f>
        <v>3152862.4287613113</v>
      </c>
      <c r="AO82" s="4">
        <f ca="1" xml:space="preserve">  'Income Statement'!AO$19</f>
        <v>3204634.6258895406</v>
      </c>
      <c r="AP82" s="4">
        <f ca="1" xml:space="preserve">  'Income Statement'!AP$19</f>
        <v>3514990.0789030646</v>
      </c>
      <c r="AQ82" s="4">
        <f ca="1" xml:space="preserve">  'Income Statement'!AQ$19</f>
        <v>3625340.1668431396</v>
      </c>
      <c r="AR82" s="4">
        <f ca="1" xml:space="preserve">  'Income Statement'!AR$19</f>
        <v>3923549.0007617353</v>
      </c>
      <c r="AS82" s="4">
        <f ca="1" xml:space="preserve">  'Income Statement'!AS$19</f>
        <v>4204528.4234143589</v>
      </c>
      <c r="AT82" s="4">
        <f ca="1" xml:space="preserve">  'Income Statement'!AT$19</f>
        <v>4642587.596917294</v>
      </c>
      <c r="AU82" s="4">
        <f ca="1" xml:space="preserve">  'Income Statement'!AU$19</f>
        <v>4884889.3999115592</v>
      </c>
      <c r="AV82" s="4">
        <f ca="1" xml:space="preserve">  'Income Statement'!AV$19</f>
        <v>5287115.4335942166</v>
      </c>
      <c r="AW82" s="4">
        <f ca="1" xml:space="preserve">  'Income Statement'!AW$19</f>
        <v>5847560.6963013588</v>
      </c>
      <c r="AX82" s="4">
        <f ca="1" xml:space="preserve">  'Income Statement'!AX$19</f>
        <v>6216892.5298779448</v>
      </c>
      <c r="AY82" s="4">
        <f ca="1" xml:space="preserve">  'Income Statement'!AY$19</f>
        <v>6736004.4846583605</v>
      </c>
      <c r="AZ82" s="4">
        <f ca="1" xml:space="preserve">  'Income Statement'!AZ$19</f>
        <v>7235293.96488644</v>
      </c>
      <c r="BA82" s="4">
        <f ca="1" xml:space="preserve">  'Income Statement'!BA$19</f>
        <v>7722579.5695250602</v>
      </c>
      <c r="BB82" s="4">
        <f ca="1" xml:space="preserve">  'Income Statement'!BB$19</f>
        <v>8173961.4834066592</v>
      </c>
      <c r="BC82" s="4">
        <f ca="1" xml:space="preserve">  'Income Statement'!BC$19</f>
        <v>8784196.8606476039</v>
      </c>
      <c r="BD82" s="4">
        <f ca="1" xml:space="preserve">  'Income Statement'!BD$19</f>
        <v>9356767.6839491166</v>
      </c>
      <c r="BE82" s="4">
        <f ca="1" xml:space="preserve">  'Income Statement'!BE$19</f>
        <v>10086275.853174651</v>
      </c>
      <c r="BF82" s="4">
        <f ca="1" xml:space="preserve">  'Income Statement'!BF$19</f>
        <v>10749289.965554396</v>
      </c>
      <c r="BG82" s="4">
        <f ca="1" xml:space="preserve">  'Income Statement'!BG$19</f>
        <v>11385997.738209594</v>
      </c>
      <c r="BH82" s="4">
        <f ca="1" xml:space="preserve">  'Income Statement'!BH$19</f>
        <v>12167553.972241577</v>
      </c>
      <c r="BI82" s="4">
        <f ca="1" xml:space="preserve">  'Income Statement'!BI$19</f>
        <v>12901692.914145119</v>
      </c>
      <c r="BJ82" s="4">
        <f ca="1" xml:space="preserve">  'Income Statement'!BJ$19</f>
        <v>13722169.081298295</v>
      </c>
      <c r="BK82" s="4">
        <f ca="1" xml:space="preserve">  'Income Statement'!BK$19</f>
        <v>14502122.157525789</v>
      </c>
      <c r="BL82" s="4">
        <f ca="1" xml:space="preserve">  'Income Statement'!BL$19</f>
        <v>15418175.543211546</v>
      </c>
      <c r="BM82" s="4">
        <f ca="1" xml:space="preserve">  'Income Statement'!BM$19</f>
        <v>16217309.252488783</v>
      </c>
      <c r="BN82" s="4">
        <f ca="1" xml:space="preserve">  'Income Statement'!BN$19</f>
        <v>17158718.913585316</v>
      </c>
      <c r="BO82" s="4">
        <f ca="1" xml:space="preserve">  'Income Statement'!BO$19</f>
        <v>18214442.211917989</v>
      </c>
      <c r="BP82" s="4">
        <f ca="1" xml:space="preserve">  'Income Statement'!BP$19</f>
        <v>19230521.358521014</v>
      </c>
      <c r="BQ82" s="4">
        <f ca="1" xml:space="preserve">  'Income Statement'!BQ$19</f>
        <v>20356308.530305412</v>
      </c>
    </row>
    <row r="83" spans="1:69" outlineLevel="1">
      <c r="E83" s="47" t="s">
        <v>304</v>
      </c>
      <c r="F83" s="57">
        <f ca="1" xml:space="preserve">  SUM( $J81:$BQ81 ) / SUM( $J82:$BQ82 )</f>
        <v>0.21050276004271598</v>
      </c>
      <c r="G83" s="47" t="s">
        <v>209</v>
      </c>
      <c r="M83" s="57"/>
    </row>
    <row r="86" spans="1:69">
      <c r="B86" s="25" t="s">
        <v>271</v>
      </c>
    </row>
  </sheetData>
  <conditionalFormatting sqref="F2:F3">
    <cfRule type="cellIs" dxfId="168" priority="1" stopIfTrue="1" operator="notEqual">
      <formula>0</formula>
    </cfRule>
    <cfRule type="cellIs" dxfId="167" priority="2" stopIfTrue="1" operator="equal">
      <formula>""</formula>
    </cfRule>
  </conditionalFormatting>
  <conditionalFormatting sqref="J3:BQ3">
    <cfRule type="cellIs" dxfId="166" priority="8" operator="equal">
      <formula>"PPA ext."</formula>
    </cfRule>
    <cfRule type="cellIs" dxfId="165" priority="9" operator="equal">
      <formula>"Delay"</formula>
    </cfRule>
    <cfRule type="cellIs" dxfId="164" priority="10" operator="equal">
      <formula>"Fin Close"</formula>
    </cfRule>
    <cfRule type="cellIs" dxfId="163" priority="11" stopIfTrue="1" operator="equal">
      <formula>"Construction"</formula>
    </cfRule>
    <cfRule type="cellIs" dxfId="16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outlinePr summaryBelow="0" summaryRight="0"/>
  </sheetPr>
  <dimension ref="A1:BQ1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4" customWidth="1"/>
    <col min="5" max="5" width="27.109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Equity</v>
      </c>
      <c r="B1" s="81"/>
      <c r="C1" s="84"/>
      <c r="D1" s="95"/>
      <c r="F1" s="53" t="str">
        <f>HYPERLINK("#Contents!A1","Go to contents")</f>
        <v>Go to contents</v>
      </c>
      <c r="H1" s="59"/>
      <c r="J1" s="59"/>
    </row>
    <row r="2" spans="1:69" s="55" customFormat="1">
      <c r="A2" s="58"/>
      <c r="B2" s="58"/>
      <c r="C2" s="83"/>
      <c r="D2" s="90"/>
      <c r="E2" s="22" t="s">
        <v>332</v>
      </c>
      <c r="F2" s="52">
        <f ca="1" xml:space="preserve"> 'Model Checks and Alerts'!F11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B8" s="25" t="s">
        <v>17</v>
      </c>
    </row>
    <row r="9" spans="1:69" s="80" customFormat="1">
      <c r="A9" s="60"/>
      <c r="B9" s="60"/>
      <c r="C9" s="82"/>
      <c r="D9" s="85"/>
      <c r="E9" s="40" t="str">
        <f xml:space="preserve">  InpC!E$48</f>
        <v>Opening Share Capital</v>
      </c>
      <c r="F9" s="40">
        <f xml:space="preserve">  InpC!F$48</f>
        <v>0</v>
      </c>
      <c r="G9" s="40" t="str">
        <f xml:space="preserve">  InpC!G$48</f>
        <v>GBP</v>
      </c>
      <c r="M9" s="87"/>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41</v>
      </c>
      <c r="G11" s="47" t="s">
        <v>257</v>
      </c>
      <c r="J11" s="2">
        <f t="shared" ref="J11:BQ11" si="0" xml:space="preserve">  I13</f>
        <v>0</v>
      </c>
      <c r="K11" s="2">
        <f t="shared" si="0"/>
        <v>0</v>
      </c>
      <c r="L11" s="2">
        <f t="shared" si="0"/>
        <v>0</v>
      </c>
      <c r="M11" s="2">
        <f t="shared" si="0"/>
        <v>0</v>
      </c>
      <c r="N11" s="2">
        <f t="shared" si="0"/>
        <v>0</v>
      </c>
      <c r="O11" s="2">
        <f t="shared" si="0"/>
        <v>0</v>
      </c>
      <c r="P11" s="2">
        <f t="shared" si="0"/>
        <v>0</v>
      </c>
      <c r="Q11" s="2">
        <f t="shared" si="0"/>
        <v>0</v>
      </c>
      <c r="R11" s="2">
        <f t="shared" si="0"/>
        <v>0</v>
      </c>
      <c r="S11" s="2">
        <f t="shared" si="0"/>
        <v>0</v>
      </c>
      <c r="T11" s="2">
        <f t="shared" si="0"/>
        <v>0</v>
      </c>
      <c r="U11" s="2">
        <f t="shared" si="0"/>
        <v>0</v>
      </c>
      <c r="V11" s="2">
        <f t="shared" si="0"/>
        <v>0</v>
      </c>
      <c r="W11" s="2">
        <f t="shared" si="0"/>
        <v>0</v>
      </c>
      <c r="X11" s="2">
        <f t="shared" si="0"/>
        <v>0</v>
      </c>
      <c r="Y11" s="2">
        <f t="shared" si="0"/>
        <v>0</v>
      </c>
      <c r="Z11" s="2">
        <f t="shared" si="0"/>
        <v>0</v>
      </c>
      <c r="AA11" s="2">
        <f t="shared" si="0"/>
        <v>0</v>
      </c>
      <c r="AB11" s="2">
        <f t="shared" si="0"/>
        <v>0</v>
      </c>
      <c r="AC11" s="2">
        <f t="shared" si="0"/>
        <v>0</v>
      </c>
      <c r="AD11" s="2">
        <f t="shared" si="0"/>
        <v>0</v>
      </c>
      <c r="AE11" s="2">
        <f t="shared" si="0"/>
        <v>0</v>
      </c>
      <c r="AF11" s="2">
        <f t="shared" si="0"/>
        <v>0</v>
      </c>
      <c r="AG11" s="2">
        <f t="shared" si="0"/>
        <v>0</v>
      </c>
      <c r="AH11" s="2">
        <f t="shared" si="0"/>
        <v>0</v>
      </c>
      <c r="AI11" s="2">
        <f t="shared" si="0"/>
        <v>0</v>
      </c>
      <c r="AJ11" s="2">
        <f t="shared" si="0"/>
        <v>0</v>
      </c>
      <c r="AK11" s="2">
        <f t="shared" si="0"/>
        <v>0</v>
      </c>
      <c r="AL11" s="2">
        <f t="shared" si="0"/>
        <v>0</v>
      </c>
      <c r="AM11" s="2">
        <f t="shared" si="0"/>
        <v>0</v>
      </c>
      <c r="AN11" s="2">
        <f t="shared" si="0"/>
        <v>0</v>
      </c>
      <c r="AO11" s="2">
        <f t="shared" si="0"/>
        <v>0</v>
      </c>
      <c r="AP11" s="2">
        <f t="shared" si="0"/>
        <v>0</v>
      </c>
      <c r="AQ11" s="2">
        <f t="shared" si="0"/>
        <v>0</v>
      </c>
      <c r="AR11" s="2">
        <f t="shared" si="0"/>
        <v>0</v>
      </c>
      <c r="AS11" s="2">
        <f t="shared" si="0"/>
        <v>0</v>
      </c>
      <c r="AT11" s="2">
        <f t="shared" si="0"/>
        <v>0</v>
      </c>
      <c r="AU11" s="2">
        <f t="shared" si="0"/>
        <v>0</v>
      </c>
      <c r="AV11" s="2">
        <f t="shared" si="0"/>
        <v>0</v>
      </c>
      <c r="AW11" s="2">
        <f t="shared" si="0"/>
        <v>0</v>
      </c>
      <c r="AX11" s="2">
        <f t="shared" si="0"/>
        <v>0</v>
      </c>
      <c r="AY11" s="2">
        <f t="shared" si="0"/>
        <v>0</v>
      </c>
      <c r="AZ11" s="2">
        <f t="shared" si="0"/>
        <v>0</v>
      </c>
      <c r="BA11" s="2">
        <f t="shared" si="0"/>
        <v>0</v>
      </c>
      <c r="BB11" s="2">
        <f t="shared" si="0"/>
        <v>0</v>
      </c>
      <c r="BC11" s="2">
        <f t="shared" si="0"/>
        <v>0</v>
      </c>
      <c r="BD11" s="2">
        <f t="shared" si="0"/>
        <v>0</v>
      </c>
      <c r="BE11" s="2">
        <f t="shared" si="0"/>
        <v>0</v>
      </c>
      <c r="BF11" s="2">
        <f t="shared" si="0"/>
        <v>0</v>
      </c>
      <c r="BG11" s="2">
        <f t="shared" si="0"/>
        <v>0</v>
      </c>
      <c r="BH11" s="2">
        <f t="shared" si="0"/>
        <v>0</v>
      </c>
      <c r="BI11" s="2">
        <f t="shared" si="0"/>
        <v>0</v>
      </c>
      <c r="BJ11" s="2">
        <f t="shared" si="0"/>
        <v>0</v>
      </c>
      <c r="BK11" s="2">
        <f t="shared" si="0"/>
        <v>0</v>
      </c>
      <c r="BL11" s="2">
        <f t="shared" si="0"/>
        <v>0</v>
      </c>
      <c r="BM11" s="2">
        <f t="shared" si="0"/>
        <v>0</v>
      </c>
      <c r="BN11" s="2">
        <f t="shared" si="0"/>
        <v>0</v>
      </c>
      <c r="BO11" s="2">
        <f t="shared" si="0"/>
        <v>0</v>
      </c>
      <c r="BP11" s="2">
        <f t="shared" si="0"/>
        <v>0</v>
      </c>
      <c r="BQ11" s="2">
        <f t="shared" si="0"/>
        <v>0</v>
      </c>
    </row>
    <row r="12" spans="1:69">
      <c r="A12" s="18"/>
      <c r="B12" s="18"/>
      <c r="C12" s="28"/>
      <c r="D12" s="27" t="s">
        <v>220</v>
      </c>
      <c r="E12" s="4" t="str">
        <f xml:space="preserve">  InpS!E$11</f>
        <v>New share capital issued</v>
      </c>
      <c r="F12" s="4">
        <f xml:space="preserve">  InpS!F$11</f>
        <v>0</v>
      </c>
      <c r="G12" s="4" t="str">
        <f xml:space="preserve">  InpS!G$11</f>
        <v>GBP</v>
      </c>
      <c r="H12" s="4">
        <f xml:space="preserve">  InpS!H$11</f>
        <v>0</v>
      </c>
      <c r="I12" s="4">
        <f xml:space="preserve">  InpS!I$11</f>
        <v>0</v>
      </c>
      <c r="J12" s="4">
        <f xml:space="preserve">  InpS!J$11</f>
        <v>0</v>
      </c>
      <c r="K12" s="4">
        <f xml:space="preserve">  InpS!K$11</f>
        <v>0</v>
      </c>
      <c r="L12" s="4">
        <f xml:space="preserve">  InpS!L$11</f>
        <v>0</v>
      </c>
      <c r="M12" s="4">
        <f xml:space="preserve">  InpS!M$11</f>
        <v>0</v>
      </c>
      <c r="N12" s="4">
        <f xml:space="preserve">  InpS!N$11</f>
        <v>0</v>
      </c>
      <c r="O12" s="4">
        <f xml:space="preserve">  InpS!O$11</f>
        <v>0</v>
      </c>
      <c r="P12" s="4">
        <f xml:space="preserve">  InpS!P$11</f>
        <v>0</v>
      </c>
      <c r="Q12" s="4">
        <f xml:space="preserve">  InpS!Q$11</f>
        <v>0</v>
      </c>
      <c r="R12" s="4">
        <f xml:space="preserve">  InpS!R$11</f>
        <v>0</v>
      </c>
      <c r="S12" s="4">
        <f xml:space="preserve">  InpS!S$11</f>
        <v>0</v>
      </c>
      <c r="T12" s="4">
        <f xml:space="preserve">  InpS!T$11</f>
        <v>0</v>
      </c>
      <c r="U12" s="4">
        <f xml:space="preserve">  InpS!U$11</f>
        <v>0</v>
      </c>
      <c r="V12" s="4">
        <f xml:space="preserve">  InpS!V$11</f>
        <v>0</v>
      </c>
      <c r="W12" s="4">
        <f xml:space="preserve">  InpS!W$11</f>
        <v>0</v>
      </c>
      <c r="X12" s="4">
        <f xml:space="preserve">  InpS!X$11</f>
        <v>0</v>
      </c>
      <c r="Y12" s="4">
        <f xml:space="preserve">  InpS!Y$11</f>
        <v>0</v>
      </c>
      <c r="Z12" s="4">
        <f xml:space="preserve">  InpS!Z$11</f>
        <v>0</v>
      </c>
      <c r="AA12" s="4">
        <f xml:space="preserve">  InpS!AA$11</f>
        <v>0</v>
      </c>
      <c r="AB12" s="4">
        <f xml:space="preserve">  InpS!AB$11</f>
        <v>0</v>
      </c>
      <c r="AC12" s="4">
        <f xml:space="preserve">  InpS!AC$11</f>
        <v>0</v>
      </c>
      <c r="AD12" s="4">
        <f xml:space="preserve">  InpS!AD$11</f>
        <v>0</v>
      </c>
      <c r="AE12" s="4">
        <f xml:space="preserve">  InpS!AE$11</f>
        <v>0</v>
      </c>
      <c r="AF12" s="4">
        <f xml:space="preserve">  InpS!AF$11</f>
        <v>0</v>
      </c>
      <c r="AG12" s="4">
        <f xml:space="preserve">  InpS!AG$11</f>
        <v>0</v>
      </c>
      <c r="AH12" s="4">
        <f xml:space="preserve">  InpS!AH$11</f>
        <v>0</v>
      </c>
      <c r="AI12" s="4">
        <f xml:space="preserve">  InpS!AI$11</f>
        <v>0</v>
      </c>
      <c r="AJ12" s="4">
        <f xml:space="preserve">  InpS!AJ$11</f>
        <v>0</v>
      </c>
      <c r="AK12" s="4">
        <f xml:space="preserve">  InpS!AK$11</f>
        <v>0</v>
      </c>
      <c r="AL12" s="4">
        <f xml:space="preserve">  InpS!AL$11</f>
        <v>0</v>
      </c>
      <c r="AM12" s="4">
        <f xml:space="preserve">  InpS!AM$11</f>
        <v>0</v>
      </c>
      <c r="AN12" s="4">
        <f xml:space="preserve">  InpS!AN$11</f>
        <v>0</v>
      </c>
      <c r="AO12" s="4">
        <f xml:space="preserve">  InpS!AO$11</f>
        <v>0</v>
      </c>
      <c r="AP12" s="4">
        <f xml:space="preserve">  InpS!AP$11</f>
        <v>0</v>
      </c>
      <c r="AQ12" s="4">
        <f xml:space="preserve">  InpS!AQ$11</f>
        <v>0</v>
      </c>
      <c r="AR12" s="4">
        <f xml:space="preserve">  InpS!AR$11</f>
        <v>0</v>
      </c>
      <c r="AS12" s="4">
        <f xml:space="preserve">  InpS!AS$11</f>
        <v>0</v>
      </c>
      <c r="AT12" s="4">
        <f xml:space="preserve">  InpS!AT$11</f>
        <v>0</v>
      </c>
      <c r="AU12" s="4">
        <f xml:space="preserve">  InpS!AU$11</f>
        <v>0</v>
      </c>
      <c r="AV12" s="4">
        <f xml:space="preserve">  InpS!AV$11</f>
        <v>0</v>
      </c>
      <c r="AW12" s="4">
        <f xml:space="preserve">  InpS!AW$11</f>
        <v>0</v>
      </c>
      <c r="AX12" s="4">
        <f xml:space="preserve">  InpS!AX$11</f>
        <v>0</v>
      </c>
      <c r="AY12" s="4">
        <f xml:space="preserve">  InpS!AY$11</f>
        <v>0</v>
      </c>
      <c r="AZ12" s="4">
        <f xml:space="preserve">  InpS!AZ$11</f>
        <v>0</v>
      </c>
      <c r="BA12" s="4">
        <f xml:space="preserve">  InpS!BA$11</f>
        <v>0</v>
      </c>
      <c r="BB12" s="4">
        <f xml:space="preserve">  InpS!BB$11</f>
        <v>0</v>
      </c>
      <c r="BC12" s="4">
        <f xml:space="preserve">  InpS!BC$11</f>
        <v>0</v>
      </c>
      <c r="BD12" s="4">
        <f xml:space="preserve">  InpS!BD$11</f>
        <v>0</v>
      </c>
      <c r="BE12" s="4">
        <f xml:space="preserve">  InpS!BE$11</f>
        <v>0</v>
      </c>
      <c r="BF12" s="4">
        <f xml:space="preserve">  InpS!BF$11</f>
        <v>0</v>
      </c>
      <c r="BG12" s="4">
        <f xml:space="preserve">  InpS!BG$11</f>
        <v>0</v>
      </c>
      <c r="BH12" s="4">
        <f xml:space="preserve">  InpS!BH$11</f>
        <v>0</v>
      </c>
      <c r="BI12" s="4">
        <f xml:space="preserve">  InpS!BI$11</f>
        <v>0</v>
      </c>
      <c r="BJ12" s="4">
        <f xml:space="preserve">  InpS!BJ$11</f>
        <v>0</v>
      </c>
      <c r="BK12" s="4">
        <f xml:space="preserve">  InpS!BK$11</f>
        <v>0</v>
      </c>
      <c r="BL12" s="4">
        <f xml:space="preserve">  InpS!BL$11</f>
        <v>0</v>
      </c>
      <c r="BM12" s="4">
        <f xml:space="preserve">  InpS!BM$11</f>
        <v>0</v>
      </c>
      <c r="BN12" s="4">
        <f xml:space="preserve">  InpS!BN$11</f>
        <v>0</v>
      </c>
      <c r="BO12" s="4">
        <f xml:space="preserve">  InpS!BO$11</f>
        <v>0</v>
      </c>
      <c r="BP12" s="4">
        <f xml:space="preserve">  InpS!BP$11</f>
        <v>0</v>
      </c>
      <c r="BQ12" s="4">
        <f xml:space="preserve">  InpS!BQ$11</f>
        <v>0</v>
      </c>
    </row>
    <row r="13" spans="1:69" s="86" customFormat="1">
      <c r="A13" s="63"/>
      <c r="B13" s="63"/>
      <c r="C13" s="89"/>
      <c r="D13" s="91"/>
      <c r="E13" s="33" t="s">
        <v>17</v>
      </c>
      <c r="F13" s="33"/>
      <c r="G13" s="33" t="s">
        <v>257</v>
      </c>
      <c r="H13" s="33"/>
      <c r="I13" s="11">
        <f t="shared" ref="I13:BQ13" si="1" xml:space="preserve">  IF( I10 = 0, $F9, I11 + I12 )</f>
        <v>0</v>
      </c>
      <c r="J13" s="11">
        <f t="shared" si="1"/>
        <v>0</v>
      </c>
      <c r="K13" s="11">
        <f t="shared" si="1"/>
        <v>0</v>
      </c>
      <c r="L13" s="11">
        <f t="shared" si="1"/>
        <v>0</v>
      </c>
      <c r="M13" s="11">
        <f t="shared" si="1"/>
        <v>0</v>
      </c>
      <c r="N13" s="11">
        <f t="shared" si="1"/>
        <v>0</v>
      </c>
      <c r="O13" s="11">
        <f t="shared" si="1"/>
        <v>0</v>
      </c>
      <c r="P13" s="11">
        <f t="shared" si="1"/>
        <v>0</v>
      </c>
      <c r="Q13" s="11">
        <f t="shared" si="1"/>
        <v>0</v>
      </c>
      <c r="R13" s="11">
        <f t="shared" si="1"/>
        <v>0</v>
      </c>
      <c r="S13" s="11">
        <f t="shared" si="1"/>
        <v>0</v>
      </c>
      <c r="T13" s="11">
        <f t="shared" si="1"/>
        <v>0</v>
      </c>
      <c r="U13" s="11">
        <f t="shared" si="1"/>
        <v>0</v>
      </c>
      <c r="V13" s="11">
        <f t="shared" si="1"/>
        <v>0</v>
      </c>
      <c r="W13" s="11">
        <f t="shared" si="1"/>
        <v>0</v>
      </c>
      <c r="X13" s="11">
        <f t="shared" si="1"/>
        <v>0</v>
      </c>
      <c r="Y13" s="11">
        <f t="shared" si="1"/>
        <v>0</v>
      </c>
      <c r="Z13" s="11">
        <f t="shared" si="1"/>
        <v>0</v>
      </c>
      <c r="AA13" s="11">
        <f t="shared" si="1"/>
        <v>0</v>
      </c>
      <c r="AB13" s="11">
        <f t="shared" si="1"/>
        <v>0</v>
      </c>
      <c r="AC13" s="11">
        <f t="shared" si="1"/>
        <v>0</v>
      </c>
      <c r="AD13" s="11">
        <f t="shared" si="1"/>
        <v>0</v>
      </c>
      <c r="AE13" s="11">
        <f t="shared" si="1"/>
        <v>0</v>
      </c>
      <c r="AF13" s="11">
        <f t="shared" si="1"/>
        <v>0</v>
      </c>
      <c r="AG13" s="11">
        <f t="shared" si="1"/>
        <v>0</v>
      </c>
      <c r="AH13" s="11">
        <f t="shared" si="1"/>
        <v>0</v>
      </c>
      <c r="AI13" s="11">
        <f t="shared" si="1"/>
        <v>0</v>
      </c>
      <c r="AJ13" s="11">
        <f t="shared" si="1"/>
        <v>0</v>
      </c>
      <c r="AK13" s="11">
        <f t="shared" si="1"/>
        <v>0</v>
      </c>
      <c r="AL13" s="11">
        <f t="shared" si="1"/>
        <v>0</v>
      </c>
      <c r="AM13" s="11">
        <f t="shared" si="1"/>
        <v>0</v>
      </c>
      <c r="AN13" s="11">
        <f t="shared" si="1"/>
        <v>0</v>
      </c>
      <c r="AO13" s="11">
        <f t="shared" si="1"/>
        <v>0</v>
      </c>
      <c r="AP13" s="11">
        <f t="shared" si="1"/>
        <v>0</v>
      </c>
      <c r="AQ13" s="11">
        <f t="shared" si="1"/>
        <v>0</v>
      </c>
      <c r="AR13" s="11">
        <f t="shared" si="1"/>
        <v>0</v>
      </c>
      <c r="AS13" s="11">
        <f t="shared" si="1"/>
        <v>0</v>
      </c>
      <c r="AT13" s="11">
        <f t="shared" si="1"/>
        <v>0</v>
      </c>
      <c r="AU13" s="11">
        <f t="shared" si="1"/>
        <v>0</v>
      </c>
      <c r="AV13" s="11">
        <f t="shared" si="1"/>
        <v>0</v>
      </c>
      <c r="AW13" s="11">
        <f t="shared" si="1"/>
        <v>0</v>
      </c>
      <c r="AX13" s="11">
        <f t="shared" si="1"/>
        <v>0</v>
      </c>
      <c r="AY13" s="11">
        <f t="shared" si="1"/>
        <v>0</v>
      </c>
      <c r="AZ13" s="11">
        <f t="shared" si="1"/>
        <v>0</v>
      </c>
      <c r="BA13" s="11">
        <f t="shared" si="1"/>
        <v>0</v>
      </c>
      <c r="BB13" s="11">
        <f t="shared" si="1"/>
        <v>0</v>
      </c>
      <c r="BC13" s="11">
        <f t="shared" si="1"/>
        <v>0</v>
      </c>
      <c r="BD13" s="11">
        <f t="shared" si="1"/>
        <v>0</v>
      </c>
      <c r="BE13" s="11">
        <f t="shared" si="1"/>
        <v>0</v>
      </c>
      <c r="BF13" s="11">
        <f t="shared" si="1"/>
        <v>0</v>
      </c>
      <c r="BG13" s="11">
        <f t="shared" si="1"/>
        <v>0</v>
      </c>
      <c r="BH13" s="11">
        <f t="shared" si="1"/>
        <v>0</v>
      </c>
      <c r="BI13" s="11">
        <f t="shared" si="1"/>
        <v>0</v>
      </c>
      <c r="BJ13" s="11">
        <f t="shared" si="1"/>
        <v>0</v>
      </c>
      <c r="BK13" s="11">
        <f t="shared" si="1"/>
        <v>0</v>
      </c>
      <c r="BL13" s="11">
        <f t="shared" si="1"/>
        <v>0</v>
      </c>
      <c r="BM13" s="11">
        <f t="shared" si="1"/>
        <v>0</v>
      </c>
      <c r="BN13" s="11">
        <f t="shared" si="1"/>
        <v>0</v>
      </c>
      <c r="BO13" s="11">
        <f t="shared" si="1"/>
        <v>0</v>
      </c>
      <c r="BP13" s="11">
        <f t="shared" si="1"/>
        <v>0</v>
      </c>
      <c r="BQ13" s="11">
        <f t="shared" si="1"/>
        <v>0</v>
      </c>
    </row>
    <row r="16" spans="1:69">
      <c r="B16" s="25" t="s">
        <v>271</v>
      </c>
    </row>
  </sheetData>
  <conditionalFormatting sqref="F2:F3">
    <cfRule type="cellIs" dxfId="161" priority="1" stopIfTrue="1" operator="notEqual">
      <formula>0</formula>
    </cfRule>
    <cfRule type="cellIs" dxfId="160" priority="2" stopIfTrue="1" operator="equal">
      <formula>""</formula>
    </cfRule>
  </conditionalFormatting>
  <conditionalFormatting sqref="J3:BQ3">
    <cfRule type="cellIs" dxfId="159" priority="8" operator="equal">
      <formula>"PPA ext."</formula>
    </cfRule>
    <cfRule type="cellIs" dxfId="158" priority="9" operator="equal">
      <formula>"Delay"</formula>
    </cfRule>
    <cfRule type="cellIs" dxfId="157" priority="10" operator="equal">
      <formula>"Fin Close"</formula>
    </cfRule>
    <cfRule type="cellIs" dxfId="156" priority="11" stopIfTrue="1" operator="equal">
      <formula>"Construction"</formula>
    </cfRule>
    <cfRule type="cellIs" dxfId="15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outlinePr summaryBelow="0" summaryRight="0"/>
  </sheetPr>
  <dimension ref="A1:BQ2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4" customWidth="1"/>
    <col min="5" max="5" width="33.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55" width="13.21875" style="47" bestFit="1" customWidth="1"/>
    <col min="56" max="69" width="14.44140625" style="47" bestFit="1" customWidth="1"/>
    <col min="70" max="70" width="15.109375" style="47" hidden="1" customWidth="1"/>
    <col min="71" max="16384" width="15.109375" style="47" hidden="1"/>
  </cols>
  <sheetData>
    <row r="1" spans="1:69" s="71" customFormat="1" ht="25">
      <c r="A1" s="46" t="str">
        <f ca="1" xml:space="preserve"> RIGHT(CELL("filename", A1), LEN(CELL("filename", A1)) - SEARCH("]", CELL("filename", A1)))</f>
        <v>Model Checks and Alerts</v>
      </c>
      <c r="B1" s="81"/>
      <c r="C1" s="84"/>
      <c r="D1" s="95"/>
      <c r="F1" s="53" t="str">
        <f>HYPERLINK("#Contents!A1","Go to contents")</f>
        <v>Go to contents</v>
      </c>
      <c r="H1" s="59"/>
      <c r="J1" s="59"/>
    </row>
    <row r="2" spans="1:69" s="55" customFormat="1">
      <c r="A2" s="58"/>
      <c r="B2" s="58"/>
      <c r="C2" s="83"/>
      <c r="D2" s="90"/>
      <c r="E2" s="22" t="s">
        <v>332</v>
      </c>
      <c r="F2" s="52">
        <f ca="1" xml:space="preserve"> F11</f>
        <v>0</v>
      </c>
      <c r="G2" s="56"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8"/>
      <c r="B3" s="58"/>
      <c r="C3" s="83"/>
      <c r="D3" s="90"/>
      <c r="E3" s="41" t="s">
        <v>207</v>
      </c>
      <c r="F3" s="52"/>
      <c r="G3" s="56"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8"/>
      <c r="B4" s="58"/>
      <c r="C4" s="83"/>
      <c r="D4" s="90"/>
      <c r="E4" s="22" t="s">
        <v>333</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8"/>
      <c r="B5" s="58"/>
      <c r="C5" s="83"/>
      <c r="D5" s="90"/>
      <c r="E5" s="22" t="s">
        <v>311</v>
      </c>
      <c r="F5" s="25" t="s">
        <v>254</v>
      </c>
      <c r="G5" s="25" t="s">
        <v>229</v>
      </c>
      <c r="H5" s="25" t="s">
        <v>206</v>
      </c>
      <c r="I5" s="22"/>
      <c r="J5" s="15"/>
      <c r="K5" s="15"/>
      <c r="L5" s="15"/>
      <c r="M5" s="15"/>
      <c r="N5" s="15"/>
      <c r="O5" s="15"/>
    </row>
    <row r="6" spans="1:69" s="41" customFormat="1">
      <c r="A6" s="25"/>
      <c r="B6" s="25"/>
      <c r="C6" s="62"/>
      <c r="D6" s="92"/>
      <c r="F6" s="25"/>
      <c r="G6" s="25"/>
      <c r="H6" s="25"/>
    </row>
    <row r="8" spans="1:69">
      <c r="A8" s="25" t="s">
        <v>18</v>
      </c>
    </row>
    <row r="9" spans="1:69" outlineLevel="1">
      <c r="B9" s="25" t="s">
        <v>137</v>
      </c>
    </row>
    <row r="10" spans="1:69" outlineLevel="2">
      <c r="E10" s="2" t="str">
        <f t="shared" ref="E10:G10" si="0" xml:space="preserve">  E$22</f>
        <v>Balance Sheet Balances overall</v>
      </c>
      <c r="F10" s="52">
        <f t="shared" ca="1" si="0"/>
        <v>0</v>
      </c>
      <c r="G10" s="2">
        <f t="shared" si="0"/>
        <v>0</v>
      </c>
      <c r="M10" s="2"/>
    </row>
    <row r="11" spans="1:69" outlineLevel="2">
      <c r="E11" s="47" t="s">
        <v>137</v>
      </c>
      <c r="F11" s="2">
        <f ca="1" xml:space="preserve">  SUM( $F10 )</f>
        <v>0</v>
      </c>
      <c r="M11" s="2"/>
    </row>
    <row r="12" spans="1:69" outlineLevel="1"/>
    <row r="13" spans="1:69" outlineLevel="1"/>
    <row r="14" spans="1:69" outlineLevel="1">
      <c r="B14" s="25" t="s">
        <v>305</v>
      </c>
    </row>
    <row r="15" spans="1:69" outlineLevel="2">
      <c r="A15" s="18"/>
      <c r="B15" s="18"/>
      <c r="C15" s="28"/>
      <c r="D15" s="27"/>
      <c r="E15" s="4" t="str">
        <f xml:space="preserve">  Financials!E$24</f>
        <v>Net Assets</v>
      </c>
      <c r="F15" s="4">
        <f xml:space="preserve">  Financials!F$24</f>
        <v>0</v>
      </c>
      <c r="G15" s="4" t="str">
        <f xml:space="preserve">  Financials!G$24</f>
        <v>GBP</v>
      </c>
      <c r="H15" s="4">
        <f xml:space="preserve">  Financials!H$24</f>
        <v>0</v>
      </c>
      <c r="I15" s="4">
        <f xml:space="preserve">  Financials!I$24</f>
        <v>0</v>
      </c>
      <c r="J15" s="4">
        <f ca="1" xml:space="preserve">  Financials!J$24</f>
        <v>-67000</v>
      </c>
      <c r="K15" s="4">
        <f ca="1" xml:space="preserve">  Financials!K$24</f>
        <v>-141291.66666666666</v>
      </c>
      <c r="L15" s="4">
        <f ca="1" xml:space="preserve">  Financials!L$24</f>
        <v>-131000</v>
      </c>
      <c r="M15" s="4">
        <f ca="1" xml:space="preserve">  Financials!M$24</f>
        <v>-86316.190184678882</v>
      </c>
      <c r="N15" s="4">
        <f ca="1" xml:space="preserve">  Financials!N$24</f>
        <v>-90632.380369357765</v>
      </c>
      <c r="O15" s="4">
        <f ca="1" xml:space="preserve">  Financials!O$24</f>
        <v>-89115.237220703159</v>
      </c>
      <c r="P15" s="4">
        <f ca="1" xml:space="preserve">  Financials!P$24</f>
        <v>64773.415582829155</v>
      </c>
      <c r="Q15" s="4">
        <f ca="1" xml:space="preserve">  Financials!Q$24</f>
        <v>217914.0209422214</v>
      </c>
      <c r="R15" s="4">
        <f ca="1" xml:space="preserve">  Financials!R$24</f>
        <v>441637.95963494666</v>
      </c>
      <c r="S15" s="4">
        <f ca="1" xml:space="preserve">  Financials!S$24</f>
        <v>635685.0113388598</v>
      </c>
      <c r="T15" s="4">
        <f ca="1" xml:space="preserve">  Financials!T$24</f>
        <v>1109732.0630427729</v>
      </c>
      <c r="U15" s="4">
        <f ca="1" xml:space="preserve">  Financials!U$24</f>
        <v>1569195.781413353</v>
      </c>
      <c r="V15" s="4">
        <f ca="1" xml:space="preserve">  Financials!V$24</f>
        <v>2283580.9815609902</v>
      </c>
      <c r="W15" s="4">
        <f ca="1" xml:space="preserve">  Financials!W$24</f>
        <v>3219707.190655319</v>
      </c>
      <c r="X15" s="4">
        <f ca="1" xml:space="preserve">  Financials!X$24</f>
        <v>4185003.7286681943</v>
      </c>
      <c r="Y15" s="4">
        <f ca="1" xml:space="preserve">  Financials!Y$24</f>
        <v>5413841.7299621347</v>
      </c>
      <c r="Z15" s="4">
        <f ca="1" xml:space="preserve">  Financials!Z$24</f>
        <v>6634134.8560638577</v>
      </c>
      <c r="AA15" s="4">
        <f ca="1" xml:space="preserve">  Financials!AA$24</f>
        <v>7848384.8658541273</v>
      </c>
      <c r="AB15" s="4">
        <f ca="1" xml:space="preserve">  Financials!AB$24</f>
        <v>9040668.2836797014</v>
      </c>
      <c r="AC15" s="4">
        <f ca="1" xml:space="preserve">  Financials!AC$24</f>
        <v>10225275.580356564</v>
      </c>
      <c r="AD15" s="4">
        <f ca="1" xml:space="preserve">  Financials!AD$24</f>
        <v>11379441.724905508</v>
      </c>
      <c r="AE15" s="4">
        <f ca="1" xml:space="preserve">  Financials!AE$24</f>
        <v>12656244.788188875</v>
      </c>
      <c r="AF15" s="4">
        <f ca="1" xml:space="preserve">  Financials!AF$24</f>
        <v>14047956.385039687</v>
      </c>
      <c r="AG15" s="4">
        <f ca="1" xml:space="preserve">  Financials!AG$24</f>
        <v>15546226.417618215</v>
      </c>
      <c r="AH15" s="4">
        <f ca="1" xml:space="preserve">  Financials!AH$24</f>
        <v>17238429.713345394</v>
      </c>
      <c r="AI15" s="4">
        <f ca="1" xml:space="preserve">  Financials!AI$24</f>
        <v>19015632.027212005</v>
      </c>
      <c r="AJ15" s="4">
        <f ca="1" xml:space="preserve">  Financials!AJ$24</f>
        <v>21009282.998669654</v>
      </c>
      <c r="AK15" s="4">
        <f ca="1" xml:space="preserve">  Financials!AK$24</f>
        <v>23084752.841449115</v>
      </c>
      <c r="AL15" s="4">
        <f ca="1" xml:space="preserve">  Financials!AL$24</f>
        <v>25257444.965992115</v>
      </c>
      <c r="AM15" s="4">
        <f ca="1" xml:space="preserve">  Financials!AM$24</f>
        <v>27596550.857912235</v>
      </c>
      <c r="AN15" s="4">
        <f ca="1" xml:space="preserve">  Financials!AN$24</f>
        <v>30085299.134254612</v>
      </c>
      <c r="AO15" s="4">
        <f ca="1" xml:space="preserve">  Financials!AO$24</f>
        <v>32613423.501632914</v>
      </c>
      <c r="AP15" s="4">
        <f ca="1" xml:space="preserve">  Financials!AP$24</f>
        <v>35389832.231422037</v>
      </c>
      <c r="AQ15" s="4">
        <f ca="1" xml:space="preserve">  Financials!AQ$24</f>
        <v>38250146.031563208</v>
      </c>
      <c r="AR15" s="4">
        <f ca="1" xml:space="preserve">  Financials!AR$24</f>
        <v>41347568.565505944</v>
      </c>
      <c r="AS15" s="4">
        <f ca="1" xml:space="preserve">  Financials!AS$24</f>
        <v>44665399.637570754</v>
      </c>
      <c r="AT15" s="4">
        <f ca="1" xml:space="preserve">  Financials!AT$24</f>
        <v>48330761.381771252</v>
      </c>
      <c r="AU15" s="4">
        <f ca="1" xml:space="preserve">  Financials!AU$24</f>
        <v>52185676.285379782</v>
      </c>
      <c r="AV15" s="4">
        <f ca="1" xml:space="preserve">  Financials!AV$24</f>
        <v>56358175.60642153</v>
      </c>
      <c r="AW15" s="4">
        <f ca="1" xml:space="preserve">  Financials!AW$24</f>
        <v>60974932.064671725</v>
      </c>
      <c r="AX15" s="4">
        <f ca="1" xml:space="preserve">  Financials!AX$24</f>
        <v>65883158.041314259</v>
      </c>
      <c r="AY15" s="4">
        <f ca="1" xml:space="preserve">  Financials!AY$24</f>
        <v>71201328.556568488</v>
      </c>
      <c r="AZ15" s="4">
        <f ca="1" xml:space="preserve">  Financials!AZ$24</f>
        <v>76913701.384116977</v>
      </c>
      <c r="BA15" s="4">
        <f ca="1" xml:space="preserve">  Financials!BA$24</f>
        <v>83012254.393196791</v>
      </c>
      <c r="BB15" s="4">
        <f ca="1" xml:space="preserve">  Financials!BB$24</f>
        <v>89465477.893249348</v>
      </c>
      <c r="BC15" s="4">
        <f ca="1" xml:space="preserve">  Financials!BC$24</f>
        <v>96402050.642972484</v>
      </c>
      <c r="BD15" s="4">
        <f ca="1" xml:space="preserve">  Financials!BD$24</f>
        <v>103789070.17259806</v>
      </c>
      <c r="BE15" s="4">
        <f ca="1" xml:space="preserve">  Financials!BE$24</f>
        <v>111753699.20434937</v>
      </c>
      <c r="BF15" s="4">
        <f ca="1" xml:space="preserve">  Financials!BF$24</f>
        <v>120241447.85933784</v>
      </c>
      <c r="BG15" s="4">
        <f ca="1" xml:space="preserve">  Financials!BG$24</f>
        <v>129231706.999809</v>
      </c>
      <c r="BH15" s="4">
        <f ca="1" xml:space="preserve">  Financials!BH$24</f>
        <v>138840539.14181334</v>
      </c>
      <c r="BI15" s="4">
        <f ca="1" xml:space="preserve">  Financials!BI$24</f>
        <v>149027288.45809257</v>
      </c>
      <c r="BJ15" s="4">
        <f ca="1" xml:space="preserve">  Financials!BJ$24</f>
        <v>159862689.31115657</v>
      </c>
      <c r="BK15" s="4">
        <f ca="1" xml:space="preserve">  Financials!BK$24</f>
        <v>171313608.40811053</v>
      </c>
      <c r="BL15" s="4">
        <f ca="1" xml:space="preserve">  Financials!BL$24</f>
        <v>183489157.50316998</v>
      </c>
      <c r="BM15" s="4">
        <f ca="1" xml:space="preserve">  Financials!BM$24</f>
        <v>196293129.46129221</v>
      </c>
      <c r="BN15" s="4">
        <f ca="1" xml:space="preserve">  Financials!BN$24</f>
        <v>209841588.2346932</v>
      </c>
      <c r="BO15" s="4">
        <f ca="1" xml:space="preserve">  Financials!BO$24</f>
        <v>224223343.37584928</v>
      </c>
      <c r="BP15" s="4">
        <f ca="1" xml:space="preserve">  Financials!BP$24</f>
        <v>239408429.57681024</v>
      </c>
      <c r="BQ15" s="4">
        <f ca="1" xml:space="preserve">  Financials!BQ$24</f>
        <v>255482005.61535609</v>
      </c>
    </row>
    <row r="16" spans="1:69" outlineLevel="2">
      <c r="A16" s="18"/>
      <c r="B16" s="18"/>
      <c r="C16" s="28"/>
      <c r="D16" s="27"/>
      <c r="E16" s="4" t="str">
        <f xml:space="preserve">  Financials!E$30</f>
        <v>Shareholder Equity</v>
      </c>
      <c r="F16" s="4">
        <f xml:space="preserve">  Financials!F$30</f>
        <v>0</v>
      </c>
      <c r="G16" s="4" t="str">
        <f xml:space="preserve">  Financials!G$30</f>
        <v>GBP</v>
      </c>
      <c r="H16" s="4">
        <f xml:space="preserve">  Financials!H$30</f>
        <v>0</v>
      </c>
      <c r="I16" s="4">
        <f xml:space="preserve">  Financials!I$30</f>
        <v>0</v>
      </c>
      <c r="J16" s="4">
        <f ca="1" xml:space="preserve">  Financials!J$30</f>
        <v>-67000</v>
      </c>
      <c r="K16" s="4">
        <f ca="1" xml:space="preserve">  Financials!K$30</f>
        <v>-141291.66666666669</v>
      </c>
      <c r="L16" s="4">
        <f ca="1" xml:space="preserve">  Financials!L$30</f>
        <v>-131000.00000000001</v>
      </c>
      <c r="M16" s="4">
        <f ca="1" xml:space="preserve">  Financials!M$30</f>
        <v>-86316.190184678868</v>
      </c>
      <c r="N16" s="4">
        <f ca="1" xml:space="preserve">  Financials!N$30</f>
        <v>-90632.380369357721</v>
      </c>
      <c r="O16" s="4">
        <f ca="1" xml:space="preserve">  Financials!O$30</f>
        <v>-89115.237220703246</v>
      </c>
      <c r="P16" s="4">
        <f ca="1" xml:space="preserve">  Financials!P$30</f>
        <v>64773.415582829301</v>
      </c>
      <c r="Q16" s="4">
        <f ca="1" xml:space="preserve">  Financials!Q$30</f>
        <v>217914.02094222119</v>
      </c>
      <c r="R16" s="4">
        <f ca="1" xml:space="preserve">  Financials!R$30</f>
        <v>441637.95963494637</v>
      </c>
      <c r="S16" s="4">
        <f ca="1" xml:space="preserve">  Financials!S$30</f>
        <v>635685.01133885968</v>
      </c>
      <c r="T16" s="4">
        <f ca="1" xml:space="preserve">  Financials!T$30</f>
        <v>1109732.0630427729</v>
      </c>
      <c r="U16" s="4">
        <f ca="1" xml:space="preserve">  Financials!U$30</f>
        <v>1569195.781413353</v>
      </c>
      <c r="V16" s="4">
        <f ca="1" xml:space="preserve">  Financials!V$30</f>
        <v>2283580.9815609911</v>
      </c>
      <c r="W16" s="4">
        <f ca="1" xml:space="preserve">  Financials!W$30</f>
        <v>3219707.1906553181</v>
      </c>
      <c r="X16" s="4">
        <f ca="1" xml:space="preserve">  Financials!X$30</f>
        <v>4185003.7286681943</v>
      </c>
      <c r="Y16" s="4">
        <f ca="1" xml:space="preserve">  Financials!Y$30</f>
        <v>5413841.7299621366</v>
      </c>
      <c r="Z16" s="4">
        <f ca="1" xml:space="preserve">  Financials!Z$30</f>
        <v>6634134.8560638577</v>
      </c>
      <c r="AA16" s="4">
        <f ca="1" xml:space="preserve">  Financials!AA$30</f>
        <v>7848384.8658541311</v>
      </c>
      <c r="AB16" s="4">
        <f ca="1" xml:space="preserve">  Financials!AB$30</f>
        <v>9040668.2836797033</v>
      </c>
      <c r="AC16" s="4">
        <f ca="1" xml:space="preserve">  Financials!AC$30</f>
        <v>10225275.580356568</v>
      </c>
      <c r="AD16" s="4">
        <f ca="1" xml:space="preserve">  Financials!AD$30</f>
        <v>11379441.724905508</v>
      </c>
      <c r="AE16" s="4">
        <f ca="1" xml:space="preserve">  Financials!AE$30</f>
        <v>12656244.78818888</v>
      </c>
      <c r="AF16" s="4">
        <f ca="1" xml:space="preserve">  Financials!AF$30</f>
        <v>14047956.385039691</v>
      </c>
      <c r="AG16" s="4">
        <f ca="1" xml:space="preserve">  Financials!AG$30</f>
        <v>15546226.417618219</v>
      </c>
      <c r="AH16" s="4">
        <f ca="1" xml:space="preserve">  Financials!AH$30</f>
        <v>17238429.71334539</v>
      </c>
      <c r="AI16" s="4">
        <f ca="1" xml:space="preserve">  Financials!AI$30</f>
        <v>19015632.027212001</v>
      </c>
      <c r="AJ16" s="4">
        <f ca="1" xml:space="preserve">  Financials!AJ$30</f>
        <v>21009282.998669647</v>
      </c>
      <c r="AK16" s="4">
        <f ca="1" xml:space="preserve">  Financials!AK$30</f>
        <v>23084752.841449108</v>
      </c>
      <c r="AL16" s="4">
        <f ca="1" xml:space="preserve">  Financials!AL$30</f>
        <v>25257444.965992115</v>
      </c>
      <c r="AM16" s="4">
        <f ca="1" xml:space="preserve">  Financials!AM$30</f>
        <v>27596550.857912228</v>
      </c>
      <c r="AN16" s="4">
        <f ca="1" xml:space="preserve">  Financials!AN$30</f>
        <v>30085299.134254608</v>
      </c>
      <c r="AO16" s="4">
        <f ca="1" xml:space="preserve">  Financials!AO$30</f>
        <v>32613423.501632906</v>
      </c>
      <c r="AP16" s="4">
        <f ca="1" xml:space="preserve">  Financials!AP$30</f>
        <v>35389832.231422022</v>
      </c>
      <c r="AQ16" s="4">
        <f ca="1" xml:space="preserve">  Financials!AQ$30</f>
        <v>38250146.0315632</v>
      </c>
      <c r="AR16" s="4">
        <f ca="1" xml:space="preserve">  Financials!AR$30</f>
        <v>41347568.565505922</v>
      </c>
      <c r="AS16" s="4">
        <f ca="1" xml:space="preserve">  Financials!AS$30</f>
        <v>44665399.637570739</v>
      </c>
      <c r="AT16" s="4">
        <f ca="1" xml:space="preserve">  Financials!AT$30</f>
        <v>48330761.381771237</v>
      </c>
      <c r="AU16" s="4">
        <f ca="1" xml:space="preserve">  Financials!AU$30</f>
        <v>52185676.28537976</v>
      </c>
      <c r="AV16" s="4">
        <f ca="1" xml:space="preserve">  Financials!AV$30</f>
        <v>56358175.606421523</v>
      </c>
      <c r="AW16" s="4">
        <f ca="1" xml:space="preserve">  Financials!AW$30</f>
        <v>60974932.06467171</v>
      </c>
      <c r="AX16" s="4">
        <f ca="1" xml:space="preserve">  Financials!AX$30</f>
        <v>65883158.041314267</v>
      </c>
      <c r="AY16" s="4">
        <f ca="1" xml:space="preserve">  Financials!AY$30</f>
        <v>71201328.556568488</v>
      </c>
      <c r="AZ16" s="4">
        <f ca="1" xml:space="preserve">  Financials!AZ$30</f>
        <v>76913701.384116963</v>
      </c>
      <c r="BA16" s="4">
        <f ca="1" xml:space="preserve">  Financials!BA$30</f>
        <v>83012254.393196777</v>
      </c>
      <c r="BB16" s="4">
        <f ca="1" xml:space="preserve">  Financials!BB$30</f>
        <v>89465477.893249333</v>
      </c>
      <c r="BC16" s="4">
        <f ca="1" xml:space="preserve">  Financials!BC$30</f>
        <v>96402050.642972469</v>
      </c>
      <c r="BD16" s="4">
        <f ca="1" xml:space="preserve">  Financials!BD$30</f>
        <v>103789070.17259805</v>
      </c>
      <c r="BE16" s="4">
        <f ca="1" xml:space="preserve">  Financials!BE$30</f>
        <v>111753699.20434938</v>
      </c>
      <c r="BF16" s="4">
        <f ca="1" xml:space="preserve">  Financials!BF$30</f>
        <v>120241447.85933785</v>
      </c>
      <c r="BG16" s="4">
        <f ca="1" xml:space="preserve">  Financials!BG$30</f>
        <v>129231706.99980903</v>
      </c>
      <c r="BH16" s="4">
        <f ca="1" xml:space="preserve">  Financials!BH$30</f>
        <v>138840539.14181334</v>
      </c>
      <c r="BI16" s="4">
        <f ca="1" xml:space="preserve">  Financials!BI$30</f>
        <v>149027288.4580926</v>
      </c>
      <c r="BJ16" s="4">
        <f ca="1" xml:space="preserve">  Financials!BJ$30</f>
        <v>159862689.31115657</v>
      </c>
      <c r="BK16" s="4">
        <f ca="1" xml:space="preserve">  Financials!BK$30</f>
        <v>171313608.40811056</v>
      </c>
      <c r="BL16" s="4">
        <f ca="1" xml:space="preserve">  Financials!BL$30</f>
        <v>183489157.50317007</v>
      </c>
      <c r="BM16" s="4">
        <f ca="1" xml:space="preserve">  Financials!BM$30</f>
        <v>196293129.46129227</v>
      </c>
      <c r="BN16" s="4">
        <f ca="1" xml:space="preserve">  Financials!BN$30</f>
        <v>209841588.23469326</v>
      </c>
      <c r="BO16" s="4">
        <f ca="1" xml:space="preserve">  Financials!BO$30</f>
        <v>224223343.37584937</v>
      </c>
      <c r="BP16" s="4">
        <f ca="1" xml:space="preserve">  Financials!BP$30</f>
        <v>239408429.57681036</v>
      </c>
      <c r="BQ16" s="4">
        <f ca="1" xml:space="preserve">  Financials!BQ$30</f>
        <v>255482005.61535621</v>
      </c>
    </row>
    <row r="17" spans="2:69" outlineLevel="2">
      <c r="E17" s="47" t="s">
        <v>305</v>
      </c>
      <c r="G17" s="47" t="s">
        <v>66</v>
      </c>
      <c r="J17" s="2">
        <f t="shared" ref="J17:BQ17" ca="1" si="1" xml:space="preserve">  IF( ROUND( ABS( J15 - J16 ), 6 ) = 0, 0, 1 )</f>
        <v>0</v>
      </c>
      <c r="K17" s="2">
        <f t="shared" ca="1" si="1"/>
        <v>0</v>
      </c>
      <c r="L17" s="2">
        <f t="shared" ca="1" si="1"/>
        <v>0</v>
      </c>
      <c r="M17" s="2">
        <f t="shared" ca="1" si="1"/>
        <v>0</v>
      </c>
      <c r="N17" s="2">
        <f t="shared" ca="1" si="1"/>
        <v>0</v>
      </c>
      <c r="O17" s="2">
        <f t="shared" ca="1" si="1"/>
        <v>0</v>
      </c>
      <c r="P17" s="2">
        <f t="shared" ca="1" si="1"/>
        <v>0</v>
      </c>
      <c r="Q17" s="2">
        <f t="shared" ca="1" si="1"/>
        <v>0</v>
      </c>
      <c r="R17" s="2">
        <f t="shared" ca="1" si="1"/>
        <v>0</v>
      </c>
      <c r="S17" s="2">
        <f t="shared" ca="1" si="1"/>
        <v>0</v>
      </c>
      <c r="T17" s="2">
        <f t="shared" ca="1" si="1"/>
        <v>0</v>
      </c>
      <c r="U17" s="2">
        <f t="shared" ca="1" si="1"/>
        <v>0</v>
      </c>
      <c r="V17" s="2">
        <f t="shared" ca="1" si="1"/>
        <v>0</v>
      </c>
      <c r="W17" s="2">
        <f t="shared" ca="1" si="1"/>
        <v>0</v>
      </c>
      <c r="X17" s="2">
        <f t="shared" ca="1" si="1"/>
        <v>0</v>
      </c>
      <c r="Y17" s="2">
        <f t="shared" ca="1" si="1"/>
        <v>0</v>
      </c>
      <c r="Z17" s="2">
        <f t="shared" ca="1" si="1"/>
        <v>0</v>
      </c>
      <c r="AA17" s="2">
        <f t="shared" ca="1" si="1"/>
        <v>0</v>
      </c>
      <c r="AB17" s="2">
        <f t="shared" ca="1" si="1"/>
        <v>0</v>
      </c>
      <c r="AC17" s="2">
        <f t="shared" ca="1" si="1"/>
        <v>0</v>
      </c>
      <c r="AD17" s="2">
        <f t="shared" ca="1" si="1"/>
        <v>0</v>
      </c>
      <c r="AE17" s="2">
        <f t="shared" ca="1" si="1"/>
        <v>0</v>
      </c>
      <c r="AF17" s="2">
        <f t="shared" ca="1" si="1"/>
        <v>0</v>
      </c>
      <c r="AG17" s="2">
        <f t="shared" ca="1" si="1"/>
        <v>0</v>
      </c>
      <c r="AH17" s="2">
        <f t="shared" ca="1" si="1"/>
        <v>0</v>
      </c>
      <c r="AI17" s="2">
        <f t="shared" ca="1" si="1"/>
        <v>0</v>
      </c>
      <c r="AJ17" s="2">
        <f t="shared" ca="1" si="1"/>
        <v>0</v>
      </c>
      <c r="AK17" s="2">
        <f t="shared" ca="1" si="1"/>
        <v>0</v>
      </c>
      <c r="AL17" s="2">
        <f t="shared" ca="1" si="1"/>
        <v>0</v>
      </c>
      <c r="AM17" s="2">
        <f t="shared" ca="1" si="1"/>
        <v>0</v>
      </c>
      <c r="AN17" s="2">
        <f t="shared" ca="1" si="1"/>
        <v>0</v>
      </c>
      <c r="AO17" s="2">
        <f t="shared" ca="1" si="1"/>
        <v>0</v>
      </c>
      <c r="AP17" s="2">
        <f t="shared" ca="1" si="1"/>
        <v>0</v>
      </c>
      <c r="AQ17" s="2">
        <f t="shared" ca="1" si="1"/>
        <v>0</v>
      </c>
      <c r="AR17" s="2">
        <f t="shared" ca="1" si="1"/>
        <v>0</v>
      </c>
      <c r="AS17" s="2">
        <f t="shared" ca="1" si="1"/>
        <v>0</v>
      </c>
      <c r="AT17" s="2">
        <f t="shared" ca="1" si="1"/>
        <v>0</v>
      </c>
      <c r="AU17" s="2">
        <f t="shared" ca="1" si="1"/>
        <v>0</v>
      </c>
      <c r="AV17" s="2">
        <f t="shared" ca="1" si="1"/>
        <v>0</v>
      </c>
      <c r="AW17" s="2">
        <f t="shared" ca="1" si="1"/>
        <v>0</v>
      </c>
      <c r="AX17" s="2">
        <f t="shared" ca="1" si="1"/>
        <v>0</v>
      </c>
      <c r="AY17" s="2">
        <f t="shared" ca="1" si="1"/>
        <v>0</v>
      </c>
      <c r="AZ17" s="2">
        <f t="shared" ca="1" si="1"/>
        <v>0</v>
      </c>
      <c r="BA17" s="2">
        <f t="shared" ca="1" si="1"/>
        <v>0</v>
      </c>
      <c r="BB17" s="2">
        <f t="shared" ca="1" si="1"/>
        <v>0</v>
      </c>
      <c r="BC17" s="2">
        <f t="shared" ca="1" si="1"/>
        <v>0</v>
      </c>
      <c r="BD17" s="2">
        <f t="shared" ca="1" si="1"/>
        <v>0</v>
      </c>
      <c r="BE17" s="2">
        <f t="shared" ca="1" si="1"/>
        <v>0</v>
      </c>
      <c r="BF17" s="2">
        <f t="shared" ca="1" si="1"/>
        <v>0</v>
      </c>
      <c r="BG17" s="2">
        <f t="shared" ca="1" si="1"/>
        <v>0</v>
      </c>
      <c r="BH17" s="2">
        <f t="shared" ca="1" si="1"/>
        <v>0</v>
      </c>
      <c r="BI17" s="2">
        <f t="shared" ca="1" si="1"/>
        <v>0</v>
      </c>
      <c r="BJ17" s="2">
        <f t="shared" ca="1" si="1"/>
        <v>0</v>
      </c>
      <c r="BK17" s="2">
        <f t="shared" ca="1" si="1"/>
        <v>0</v>
      </c>
      <c r="BL17" s="2">
        <f t="shared" ca="1" si="1"/>
        <v>0</v>
      </c>
      <c r="BM17" s="2">
        <f t="shared" ca="1" si="1"/>
        <v>0</v>
      </c>
      <c r="BN17" s="2">
        <f t="shared" ca="1" si="1"/>
        <v>0</v>
      </c>
      <c r="BO17" s="2">
        <f t="shared" ca="1" si="1"/>
        <v>0</v>
      </c>
      <c r="BP17" s="2">
        <f t="shared" ca="1" si="1"/>
        <v>0</v>
      </c>
      <c r="BQ17" s="2">
        <f t="shared" ca="1" si="1"/>
        <v>0</v>
      </c>
    </row>
    <row r="18" spans="2:69" outlineLevel="1"/>
    <row r="19" spans="2:69" outlineLevel="1"/>
    <row r="20" spans="2:69" outlineLevel="1">
      <c r="B20" s="25" t="s">
        <v>85</v>
      </c>
    </row>
    <row r="21" spans="2:69" outlineLevel="2">
      <c r="E21" s="2" t="str">
        <f t="shared" ref="E21:BQ21" si="2" xml:space="preserve">  E$17</f>
        <v>Balance Sheet Balances</v>
      </c>
      <c r="F21" s="2">
        <f t="shared" si="2"/>
        <v>0</v>
      </c>
      <c r="G21" s="2" t="str">
        <f t="shared" si="2"/>
        <v>Check</v>
      </c>
      <c r="H21" s="2">
        <f t="shared" si="2"/>
        <v>0</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0</v>
      </c>
      <c r="R21" s="2">
        <f t="shared" ca="1" si="2"/>
        <v>0</v>
      </c>
      <c r="S21" s="2">
        <f t="shared" ca="1" si="2"/>
        <v>0</v>
      </c>
      <c r="T21" s="2">
        <f t="shared" ca="1" si="2"/>
        <v>0</v>
      </c>
      <c r="U21" s="2">
        <f t="shared" ca="1" si="2"/>
        <v>0</v>
      </c>
      <c r="V21" s="2">
        <f t="shared" ca="1" si="2"/>
        <v>0</v>
      </c>
      <c r="W21" s="2">
        <f t="shared" ca="1" si="2"/>
        <v>0</v>
      </c>
      <c r="X21" s="2">
        <f t="shared" ca="1" si="2"/>
        <v>0</v>
      </c>
      <c r="Y21" s="2">
        <f t="shared" ca="1" si="2"/>
        <v>0</v>
      </c>
      <c r="Z21" s="2">
        <f t="shared" ca="1" si="2"/>
        <v>0</v>
      </c>
      <c r="AA21" s="2">
        <f t="shared" ca="1" si="2"/>
        <v>0</v>
      </c>
      <c r="AB21" s="2">
        <f t="shared" ca="1" si="2"/>
        <v>0</v>
      </c>
      <c r="AC21" s="2">
        <f t="shared" ca="1" si="2"/>
        <v>0</v>
      </c>
      <c r="AD21" s="2">
        <f t="shared" ca="1" si="2"/>
        <v>0</v>
      </c>
      <c r="AE21" s="2">
        <f t="shared" ca="1" si="2"/>
        <v>0</v>
      </c>
      <c r="AF21" s="2">
        <f t="shared" ca="1" si="2"/>
        <v>0</v>
      </c>
      <c r="AG21" s="2">
        <f t="shared" ca="1" si="2"/>
        <v>0</v>
      </c>
      <c r="AH21" s="2">
        <f t="shared" ca="1" si="2"/>
        <v>0</v>
      </c>
      <c r="AI21" s="2">
        <f t="shared" ca="1" si="2"/>
        <v>0</v>
      </c>
      <c r="AJ21" s="2">
        <f t="shared" ca="1" si="2"/>
        <v>0</v>
      </c>
      <c r="AK21" s="2">
        <f t="shared" ca="1" si="2"/>
        <v>0</v>
      </c>
      <c r="AL21" s="2">
        <f t="shared" ca="1" si="2"/>
        <v>0</v>
      </c>
      <c r="AM21" s="2">
        <f t="shared" ca="1" si="2"/>
        <v>0</v>
      </c>
      <c r="AN21" s="2">
        <f t="shared" ca="1" si="2"/>
        <v>0</v>
      </c>
      <c r="AO21" s="2">
        <f t="shared" ca="1" si="2"/>
        <v>0</v>
      </c>
      <c r="AP21" s="2">
        <f t="shared" ca="1" si="2"/>
        <v>0</v>
      </c>
      <c r="AQ21" s="2">
        <f t="shared" ca="1" si="2"/>
        <v>0</v>
      </c>
      <c r="AR21" s="2">
        <f t="shared" ca="1" si="2"/>
        <v>0</v>
      </c>
      <c r="AS21" s="2">
        <f t="shared" ca="1" si="2"/>
        <v>0</v>
      </c>
      <c r="AT21" s="2">
        <f t="shared" ca="1" si="2"/>
        <v>0</v>
      </c>
      <c r="AU21" s="2">
        <f t="shared" ca="1" si="2"/>
        <v>0</v>
      </c>
      <c r="AV21" s="2">
        <f t="shared" ca="1" si="2"/>
        <v>0</v>
      </c>
      <c r="AW21" s="2">
        <f t="shared" ca="1" si="2"/>
        <v>0</v>
      </c>
      <c r="AX21" s="2">
        <f t="shared" ca="1" si="2"/>
        <v>0</v>
      </c>
      <c r="AY21" s="2">
        <f t="shared" ca="1" si="2"/>
        <v>0</v>
      </c>
      <c r="AZ21" s="2">
        <f t="shared" ca="1" si="2"/>
        <v>0</v>
      </c>
      <c r="BA21" s="2">
        <f t="shared" ca="1" si="2"/>
        <v>0</v>
      </c>
      <c r="BB21" s="2">
        <f t="shared" ca="1" si="2"/>
        <v>0</v>
      </c>
      <c r="BC21" s="2">
        <f t="shared" ca="1" si="2"/>
        <v>0</v>
      </c>
      <c r="BD21" s="2">
        <f t="shared" ca="1" si="2"/>
        <v>0</v>
      </c>
      <c r="BE21" s="2">
        <f t="shared" ca="1" si="2"/>
        <v>0</v>
      </c>
      <c r="BF21" s="2">
        <f t="shared" ca="1" si="2"/>
        <v>0</v>
      </c>
      <c r="BG21" s="2">
        <f t="shared" ca="1" si="2"/>
        <v>0</v>
      </c>
      <c r="BH21" s="2">
        <f t="shared" ca="1" si="2"/>
        <v>0</v>
      </c>
      <c r="BI21" s="2">
        <f t="shared" ca="1" si="2"/>
        <v>0</v>
      </c>
      <c r="BJ21" s="2">
        <f t="shared" ca="1" si="2"/>
        <v>0</v>
      </c>
      <c r="BK21" s="2">
        <f t="shared" ca="1" si="2"/>
        <v>0</v>
      </c>
      <c r="BL21" s="2">
        <f t="shared" ca="1" si="2"/>
        <v>0</v>
      </c>
      <c r="BM21" s="2">
        <f t="shared" ca="1" si="2"/>
        <v>0</v>
      </c>
      <c r="BN21" s="2">
        <f t="shared" ca="1" si="2"/>
        <v>0</v>
      </c>
      <c r="BO21" s="2">
        <f t="shared" ca="1" si="2"/>
        <v>0</v>
      </c>
      <c r="BP21" s="2">
        <f t="shared" ca="1" si="2"/>
        <v>0</v>
      </c>
      <c r="BQ21" s="2">
        <f t="shared" ca="1" si="2"/>
        <v>0</v>
      </c>
    </row>
    <row r="22" spans="2:69" outlineLevel="2">
      <c r="E22" s="47" t="s">
        <v>85</v>
      </c>
      <c r="F22" s="2">
        <f ca="1" xml:space="preserve">  IF( MAX( $J21:$BQ21 ) &gt; 0, 1, 0 )</f>
        <v>0</v>
      </c>
      <c r="M22" s="2"/>
    </row>
    <row r="23" spans="2:69" outlineLevel="1"/>
    <row r="26" spans="2:69">
      <c r="B26" s="25" t="s">
        <v>271</v>
      </c>
    </row>
  </sheetData>
  <conditionalFormatting sqref="F2:F3 F10">
    <cfRule type="cellIs" dxfId="154" priority="1" stopIfTrue="1" operator="notEqual">
      <formula>0</formula>
    </cfRule>
    <cfRule type="cellIs" dxfId="153" priority="2" stopIfTrue="1" operator="equal">
      <formula>""</formula>
    </cfRule>
  </conditionalFormatting>
  <conditionalFormatting sqref="J3:BQ3">
    <cfRule type="cellIs" dxfId="152" priority="8" operator="equal">
      <formula>"PPA ext."</formula>
    </cfRule>
    <cfRule type="cellIs" dxfId="151" priority="9" operator="equal">
      <formula>"Delay"</formula>
    </cfRule>
    <cfRule type="cellIs" dxfId="150" priority="10" operator="equal">
      <formula>"Fin Close"</formula>
    </cfRule>
    <cfRule type="cellIs" dxfId="149" priority="11" stopIfTrue="1" operator="equal">
      <formula>"Construction"</formula>
    </cfRule>
    <cfRule type="cellIs" dxfId="14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4F81BD"/>
    <outlinePr summaryBelow="0" summaryRight="0"/>
  </sheetPr>
  <dimension ref="A1:P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44140625" bestFit="1" customWidth="1"/>
    <col min="11" max="12" width="13.21875" bestFit="1" customWidth="1"/>
    <col min="13" max="14" width="14.44140625" bestFit="1" customWidth="1"/>
    <col min="15"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Income Statement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4"/>
      <c r="D3" s="78"/>
      <c r="E3" s="41" t="s">
        <v>207</v>
      </c>
      <c r="F3" s="52"/>
      <c r="G3" s="56" t="s">
        <v>98</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4"/>
      <c r="D4" s="78"/>
      <c r="E4" s="22" t="s">
        <v>333</v>
      </c>
      <c r="F4"/>
      <c r="G4"/>
      <c r="H4" s="50"/>
      <c r="I4" s="50"/>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Income!E$18</f>
        <v>Income</v>
      </c>
      <c r="F8" s="17">
        <f xml:space="preserve"> Income!F$18</f>
        <v>0</v>
      </c>
      <c r="G8" s="17" t="str">
        <f xml:space="preserve"> Income!G$18</f>
        <v>GBP</v>
      </c>
      <c r="H8" s="44">
        <f ca="1" xml:space="preserve"> Income!H$18</f>
        <v>411685641.93826306</v>
      </c>
      <c r="I8" s="17">
        <f xml:space="preserve"> Income!I$18</f>
        <v>0</v>
      </c>
      <c r="J8" s="10">
        <f ca="1" xml:space="preserve"> SUMIF( Time!$J297:$BQ297, Time!J$28, Income!$J18:$BQ18)</f>
        <v>4095000</v>
      </c>
      <c r="K8" s="10">
        <f ca="1" xml:space="preserve"> SUMIF( Time!$J297:$BQ297, Time!K$28, Income!$J18:$BQ18)</f>
        <v>22685354.186605372</v>
      </c>
      <c r="L8" s="10">
        <f ca="1" xml:space="preserve"> SUMIF( Time!$J297:$BQ297, Time!L$28, Income!$J18:$BQ18)</f>
        <v>48125000</v>
      </c>
      <c r="M8" s="10">
        <f ca="1" xml:space="preserve"> SUMIF( Time!$J297:$BQ297, Time!M$28, Income!$J18:$BQ18)</f>
        <v>108177103.53879324</v>
      </c>
      <c r="N8" s="10">
        <f ca="1" xml:space="preserve"> SUMIF( Time!$J297:$BQ297, Time!N$28, Income!$J18:$BQ18)</f>
        <v>228603184.21286434</v>
      </c>
    </row>
    <row r="9" spans="1:16">
      <c r="E9" s="17" t="str">
        <f xml:space="preserve"> Expense!E$27</f>
        <v xml:space="preserve">Variable Operating expense </v>
      </c>
      <c r="F9" s="17">
        <f xml:space="preserve"> Expense!F$27</f>
        <v>0</v>
      </c>
      <c r="G9" s="17" t="str">
        <f xml:space="preserve"> Expense!G$27</f>
        <v>GBP</v>
      </c>
      <c r="H9" s="44">
        <f ca="1" xml:space="preserve"> Expense!H$27</f>
        <v>-69258760.470558211</v>
      </c>
      <c r="I9" s="17">
        <f xml:space="preserve"> Expense!I$27</f>
        <v>0</v>
      </c>
      <c r="J9" s="10">
        <f ca="1" xml:space="preserve"> SUMIF( Time!$J297:$BQ297, Time!J$28, Expense!$J27:$BQ27)</f>
        <v>-1596000</v>
      </c>
      <c r="K9" s="10">
        <f ca="1" xml:space="preserve"> SUMIF( Time!$J297:$BQ297, Time!K$28, Expense!$J27:$BQ27)</f>
        <v>-3741602.2864722121</v>
      </c>
      <c r="L9" s="10">
        <f ca="1" xml:space="preserve"> SUMIF( Time!$J297:$BQ297, Time!L$28, Expense!$J27:$BQ27)</f>
        <v>-8919604.5729444269</v>
      </c>
      <c r="M9" s="10">
        <f ca="1" xml:space="preserve"> SUMIF( Time!$J297:$BQ297, Time!M$28, Expense!$J27:$BQ27)</f>
        <v>-18333851.203713853</v>
      </c>
      <c r="N9" s="10">
        <f ca="1" xml:space="preserve"> SUMIF( Time!$J297:$BQ297, Time!N$28, Expense!$J27:$BQ27)</f>
        <v>-36667702.407427721</v>
      </c>
    </row>
    <row r="10" spans="1:16">
      <c r="E10" s="17" t="str">
        <f xml:space="preserve"> Expense!E$20</f>
        <v xml:space="preserve">Fixed operating expense </v>
      </c>
      <c r="F10" s="17">
        <f xml:space="preserve"> Expense!F$20</f>
        <v>0</v>
      </c>
      <c r="G10" s="17" t="str">
        <f xml:space="preserve"> Expense!G$20</f>
        <v>GBP</v>
      </c>
      <c r="H10" s="44">
        <f xml:space="preserve"> Expense!H$20</f>
        <v>-1899484.1637263105</v>
      </c>
      <c r="I10" s="17">
        <f xml:space="preserve"> Expense!I$20</f>
        <v>0</v>
      </c>
      <c r="J10" s="10">
        <f xml:space="preserve"> SUMIF( Time!$J297:$BQ297, Time!J$28, Expense!$J20:$BQ20)</f>
        <v>-311119.85656664212</v>
      </c>
      <c r="K10" s="10">
        <f xml:space="preserve"> SUMIF( Time!$J297:$BQ297, Time!K$28, Expense!$J20:$BQ20)</f>
        <v>-342255.27154374332</v>
      </c>
      <c r="L10" s="10">
        <f xml:space="preserve"> SUMIF( Time!$J297:$BQ297, Time!L$28, Expense!$J20:$BQ20)</f>
        <v>-376480.98544824088</v>
      </c>
      <c r="M10" s="10">
        <f xml:space="preserve"> SUMIF( Time!$J297:$BQ297, Time!M$28, Expense!$J20:$BQ20)</f>
        <v>-414122.38472134311</v>
      </c>
      <c r="N10" s="10">
        <f xml:space="preserve"> SUMIF( Time!$J297:$BQ297, Time!N$28, Expense!$J20:$BQ20)</f>
        <v>-455505.66544633987</v>
      </c>
    </row>
    <row r="11" spans="1:16">
      <c r="E11" s="12" t="s">
        <v>180</v>
      </c>
      <c r="F11" s="30"/>
      <c r="G11" s="12" t="s">
        <v>257</v>
      </c>
      <c r="H11" s="54">
        <f ca="1" xml:space="preserve"> SUM( J11:BQ11 )</f>
        <v>340527397.30397844</v>
      </c>
      <c r="I11" s="30"/>
      <c r="J11" s="12">
        <f ca="1" xml:space="preserve"> SUMIF( Time!$J297:$BQ297, Time!J$28, 'Income Statement'!$J11:$BQ11)</f>
        <v>2187880.1434333581</v>
      </c>
      <c r="K11" s="12">
        <f ca="1" xml:space="preserve"> SUMIF( Time!$J297:$BQ297, Time!K$28, 'Income Statement'!$J11:$BQ11)</f>
        <v>18601496.628589414</v>
      </c>
      <c r="L11" s="12">
        <f ca="1" xml:space="preserve"> SUMIF( Time!$J297:$BQ297, Time!L$28, 'Income Statement'!$J11:$BQ11)</f>
        <v>38828914.441607341</v>
      </c>
      <c r="M11" s="12">
        <f ca="1" xml:space="preserve"> SUMIF( Time!$J297:$BQ297, Time!M$28, 'Income Statement'!$J11:$BQ11)</f>
        <v>89429129.950358033</v>
      </c>
      <c r="N11" s="12">
        <f ca="1" xml:space="preserve"> SUMIF( Time!$J297:$BQ297, Time!N$28, 'Income Statement'!$J11:$BQ11)</f>
        <v>191479976.1399903</v>
      </c>
    </row>
    <row r="13" spans="1:16">
      <c r="E13" s="17" t="str">
        <f xml:space="preserve"> Assets!E$14</f>
        <v xml:space="preserve">Depreciation this period </v>
      </c>
      <c r="F13" s="17">
        <f xml:space="preserve"> Assets!F$14</f>
        <v>0</v>
      </c>
      <c r="G13" s="17" t="str">
        <f xml:space="preserve"> Assets!G$14</f>
        <v>GBP</v>
      </c>
      <c r="H13" s="44">
        <f ca="1" xml:space="preserve"> Assets!H$14</f>
        <v>-16926512.227826584</v>
      </c>
      <c r="I13" s="17">
        <f xml:space="preserve"> Assets!I$14</f>
        <v>0</v>
      </c>
      <c r="J13" s="10">
        <f ca="1" xml:space="preserve"> SUMIF( Time!$J297:$BQ297, Time!J$28, Assets!$J14:$BQ14)</f>
        <v>-167708.33333333331</v>
      </c>
      <c r="K13" s="10">
        <f ca="1" xml:space="preserve"> SUMIF( Time!$J297:$BQ297, Time!K$28, Assets!$J14:$BQ14)</f>
        <v>-904166.66666666686</v>
      </c>
      <c r="L13" s="10">
        <f ca="1" xml:space="preserve"> SUMIF( Time!$J297:$BQ297, Time!L$28, Assets!$J14:$BQ14)</f>
        <v>-1943958.3333333333</v>
      </c>
      <c r="M13" s="10">
        <f ca="1" xml:space="preserve"> SUMIF( Time!$J297:$BQ297, Time!M$28, Assets!$J14:$BQ14)</f>
        <v>-4455004.3935077805</v>
      </c>
      <c r="N13" s="10">
        <f ca="1" xml:space="preserve"> SUMIF( Time!$J297:$BQ297, Time!N$28, Assets!$J14:$BQ14)</f>
        <v>-9455674.5009854715</v>
      </c>
    </row>
    <row r="14" spans="1:16">
      <c r="E14" s="12" t="s">
        <v>63</v>
      </c>
      <c r="F14" s="30"/>
      <c r="G14" s="12" t="s">
        <v>257</v>
      </c>
      <c r="H14" s="54">
        <f ca="1" xml:space="preserve"> SUM( J14:BQ14 )</f>
        <v>323600885.07615185</v>
      </c>
      <c r="I14" s="30"/>
      <c r="J14" s="12">
        <f ca="1" xml:space="preserve"> SUMIF( Time!$J297:$BQ297, Time!J$28, 'Income Statement'!$J14:$BQ14)</f>
        <v>2020171.8101000243</v>
      </c>
      <c r="K14" s="12">
        <f ca="1" xml:space="preserve"> SUMIF( Time!$J297:$BQ297, Time!K$28, 'Income Statement'!$J14:$BQ14)</f>
        <v>17697329.961922746</v>
      </c>
      <c r="L14" s="12">
        <f ca="1" xml:space="preserve"> SUMIF( Time!$J297:$BQ297, Time!L$28, 'Income Statement'!$J14:$BQ14)</f>
        <v>36884956.108273998</v>
      </c>
      <c r="M14" s="12">
        <f ca="1" xml:space="preserve"> SUMIF( Time!$J297:$BQ297, Time!M$28, 'Income Statement'!$J14:$BQ14)</f>
        <v>84974125.556850269</v>
      </c>
      <c r="N14" s="12">
        <f ca="1" xml:space="preserve"> SUMIF( Time!$J297:$BQ297, Time!N$28, 'Income Statement'!$J14:$BQ14)</f>
        <v>182024301.63900486</v>
      </c>
    </row>
    <row r="16" spans="1:16">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0</v>
      </c>
      <c r="I16" s="17">
        <f xml:space="preserve"> 'Supply Chain finance'!I$42</f>
        <v>0</v>
      </c>
      <c r="J16" s="10">
        <f ca="1" xml:space="preserve"> SUMIF( Time!$J297:$BQ297, Time!J$28, 'Supply Chain finance'!$J42:$BQ42)</f>
        <v>0</v>
      </c>
      <c r="K16" s="10">
        <f ca="1" xml:space="preserve"> SUMIF( Time!$J297:$BQ297, Time!K$28, 'Supply Chain finance'!$J42:$BQ42)</f>
        <v>0</v>
      </c>
      <c r="L16" s="10">
        <f ca="1" xml:space="preserve"> SUMIF( Time!$J297:$BQ297, Time!L$28, 'Supply Chain finance'!$J42:$BQ42)</f>
        <v>0</v>
      </c>
      <c r="M16" s="10">
        <f ca="1" xml:space="preserve"> SUMIF( Time!$J297:$BQ297, Time!M$28, 'Supply Chain finance'!$J42:$BQ42)</f>
        <v>0</v>
      </c>
      <c r="N16" s="10">
        <f ca="1" xml:space="preserve"> SUMIF( Time!$J297:$BQ297, Time!N$28, 'Supply Chain finance'!$J42:$BQ42)</f>
        <v>0</v>
      </c>
    </row>
    <row r="17" spans="5:14">
      <c r="E17" s="17" t="str">
        <f xml:space="preserve"> 'Invoice finance'!E$41</f>
        <v xml:space="preserve">Invoice finance interest </v>
      </c>
      <c r="F17" s="17">
        <f xml:space="preserve"> 'Invoice finance'!F$41</f>
        <v>0</v>
      </c>
      <c r="G17" s="17" t="str">
        <f xml:space="preserve"> 'Invoice finance'!G$41</f>
        <v>GBP</v>
      </c>
      <c r="H17" s="44">
        <f ca="1" xml:space="preserve"> 'Invoice finance'!H$41</f>
        <v>0</v>
      </c>
      <c r="I17" s="17">
        <f xml:space="preserve"> 'Invoice finance'!I$41</f>
        <v>0</v>
      </c>
      <c r="J17" s="10">
        <f ca="1" xml:space="preserve"> SUMIF( Time!$J297:$BQ297, Time!J$28, 'Invoice finance'!$J41:$BQ41)</f>
        <v>0</v>
      </c>
      <c r="K17" s="10">
        <f ca="1" xml:space="preserve"> SUMIF( Time!$J297:$BQ297, Time!K$28, 'Invoice finance'!$J41:$BQ41)</f>
        <v>0</v>
      </c>
      <c r="L17" s="10">
        <f ca="1" xml:space="preserve"> SUMIF( Time!$J297:$BQ297, Time!L$28, 'Invoice finance'!$J41:$BQ41)</f>
        <v>0</v>
      </c>
      <c r="M17" s="10">
        <f ca="1" xml:space="preserve"> SUMIF( Time!$J297:$BQ297, Time!M$28, 'Invoice finance'!$J41:$BQ41)</f>
        <v>0</v>
      </c>
      <c r="N17" s="10">
        <f ca="1" xml:space="preserve"> SUMIF( Time!$J297:$BQ297, Time!N$28, 'Invoice finance'!$J41:$BQ41)</f>
        <v>0</v>
      </c>
    </row>
    <row r="18" spans="5:14">
      <c r="E18" s="17" t="str">
        <f xml:space="preserve"> 'Asset Finance'!E$42</f>
        <v xml:space="preserve">Asset Finance interest </v>
      </c>
      <c r="F18" s="17">
        <f xml:space="preserve"> 'Asset Finance'!F$42</f>
        <v>0</v>
      </c>
      <c r="G18" s="17" t="str">
        <f xml:space="preserve"> 'Asset Finance'!G$42</f>
        <v>GBP</v>
      </c>
      <c r="H18" s="44">
        <f ca="1" xml:space="preserve"> 'Asset Finance'!H$42</f>
        <v>0</v>
      </c>
      <c r="I18" s="17">
        <f xml:space="preserve"> 'Asset Finance'!I$42</f>
        <v>0</v>
      </c>
      <c r="J18" s="10">
        <f ca="1" xml:space="preserve"> SUMIF( Time!$J297:$BQ297, Time!J$28, 'Asset Finance'!$J42:$BQ42)</f>
        <v>0</v>
      </c>
      <c r="K18" s="10">
        <f ca="1" xml:space="preserve"> SUMIF( Time!$J297:$BQ297, Time!K$28, 'Asset Finance'!$J42:$BQ42)</f>
        <v>0</v>
      </c>
      <c r="L18" s="10">
        <f ca="1" xml:space="preserve"> SUMIF( Time!$J297:$BQ297, Time!L$28, 'Asset Finance'!$J42:$BQ42)</f>
        <v>0</v>
      </c>
      <c r="M18" s="10">
        <f ca="1" xml:space="preserve"> SUMIF( Time!$J297:$BQ297, Time!M$28, 'Asset Finance'!$J42:$BQ42)</f>
        <v>0</v>
      </c>
      <c r="N18" s="10">
        <f ca="1" xml:space="preserve"> SUMIF( Time!$J297:$BQ297, Time!N$28, 'Asset Finance'!$J42:$BQ42)</f>
        <v>0</v>
      </c>
    </row>
    <row r="19" spans="5:14">
      <c r="E19" s="12" t="s">
        <v>181</v>
      </c>
      <c r="F19" s="30"/>
      <c r="G19" s="12" t="s">
        <v>257</v>
      </c>
      <c r="H19" s="54">
        <f ca="1" xml:space="preserve"> SUM( J19:BQ19 )</f>
        <v>323600885.07615185</v>
      </c>
      <c r="I19" s="30"/>
      <c r="J19" s="12">
        <f ca="1" xml:space="preserve"> SUMIF( Time!$J297:$BQ297, Time!J$28, 'Income Statement'!$J19:$BQ19)</f>
        <v>2020171.8101000243</v>
      </c>
      <c r="K19" s="12">
        <f ca="1" xml:space="preserve"> SUMIF( Time!$J297:$BQ297, Time!K$28, 'Income Statement'!$J19:$BQ19)</f>
        <v>17697329.961922746</v>
      </c>
      <c r="L19" s="12">
        <f ca="1" xml:space="preserve"> SUMIF( Time!$J297:$BQ297, Time!L$28, 'Income Statement'!$J19:$BQ19)</f>
        <v>36884956.108273998</v>
      </c>
      <c r="M19" s="12">
        <f ca="1" xml:space="preserve"> SUMIF( Time!$J297:$BQ297, Time!M$28, 'Income Statement'!$J19:$BQ19)</f>
        <v>84974125.556850269</v>
      </c>
      <c r="N19" s="12">
        <f ca="1" xml:space="preserve"> SUMIF( Time!$J297:$BQ297, Time!N$28, 'Income Statement'!$J19:$BQ19)</f>
        <v>182024301.63900486</v>
      </c>
    </row>
    <row r="21" spans="5:14">
      <c r="E21" s="17" t="str">
        <f xml:space="preserve"> 'Corporation tax'!E$48</f>
        <v xml:space="preserve">Corporation tax </v>
      </c>
      <c r="F21" s="17">
        <f xml:space="preserve"> 'Corporation tax'!F$48</f>
        <v>0</v>
      </c>
      <c r="G21" s="17" t="str">
        <f xml:space="preserve"> 'Corporation tax'!G$48</f>
        <v>GBP</v>
      </c>
      <c r="H21" s="44">
        <f ca="1" xml:space="preserve"> 'Corporation tax'!H$48</f>
        <v>-68118879.460795701</v>
      </c>
      <c r="I21" s="17">
        <f xml:space="preserve"> 'Corporation tax'!I$48</f>
        <v>0</v>
      </c>
      <c r="J21" s="10">
        <f ca="1" xml:space="preserve"> SUMIF( Time!$J297:$BQ297, Time!J$28, 'Corporation tax'!$J48:$BQ48)</f>
        <v>-450976.02868667158</v>
      </c>
      <c r="K21" s="10">
        <f ca="1" xml:space="preserve"> SUMIF( Time!$J297:$BQ297, Time!K$28, 'Corporation tax'!$J48:$BQ48)</f>
        <v>-3720299.3257178832</v>
      </c>
      <c r="L21" s="10">
        <f ca="1" xml:space="preserve"> SUMIF( Time!$J297:$BQ297, Time!L$28, 'Corporation tax'!$J48:$BQ48)</f>
        <v>-7765782.8883214667</v>
      </c>
      <c r="M21" s="10">
        <f ca="1" xml:space="preserve"> SUMIF( Time!$J297:$BQ297, Time!M$28, 'Corporation tax'!$J48:$BQ48)</f>
        <v>-17885825.99007161</v>
      </c>
      <c r="N21" s="10">
        <f ca="1" xml:space="preserve"> SUMIF( Time!$J297:$BQ297, Time!N$28, 'Corporation tax'!$J48:$BQ48)</f>
        <v>-38295995.227998063</v>
      </c>
    </row>
    <row r="22" spans="5:14">
      <c r="E22" s="12" t="s">
        <v>38</v>
      </c>
      <c r="F22" s="30"/>
      <c r="G22" s="12" t="s">
        <v>257</v>
      </c>
      <c r="H22" s="54">
        <f ca="1" xml:space="preserve"> SUM( J22:BQ22 )</f>
        <v>255482005.61535615</v>
      </c>
      <c r="I22" s="30"/>
      <c r="J22" s="12">
        <f ca="1" xml:space="preserve"> SUMIF( Time!$J297:$BQ297, Time!J$28, 'Income Statement'!$J22:$BQ22)</f>
        <v>1569195.781413353</v>
      </c>
      <c r="K22" s="12">
        <f ca="1" xml:space="preserve"> SUMIF( Time!$J297:$BQ297, Time!K$28, 'Income Statement'!$J22:$BQ22)</f>
        <v>13977030.636204865</v>
      </c>
      <c r="L22" s="12">
        <f ca="1" xml:space="preserve"> SUMIF( Time!$J297:$BQ297, Time!L$28, 'Income Statement'!$J22:$BQ22)</f>
        <v>29119173.219952535</v>
      </c>
      <c r="M22" s="12">
        <f ca="1" xml:space="preserve"> SUMIF( Time!$J297:$BQ297, Time!M$28, 'Income Statement'!$J22:$BQ22)</f>
        <v>67088299.56677866</v>
      </c>
      <c r="N22" s="12">
        <f ca="1" xml:space="preserve"> SUMIF( Time!$J297:$BQ297, Time!N$28, 'Income Statement'!$J22:$BQ22)</f>
        <v>143728306.41100675</v>
      </c>
    </row>
  </sheetData>
  <conditionalFormatting sqref="F2:F3">
    <cfRule type="cellIs" dxfId="147" priority="1" stopIfTrue="1" operator="notEqual">
      <formula>0</formula>
    </cfRule>
    <cfRule type="cellIs" dxfId="146" priority="2" stopIfTrue="1" operator="equal">
      <formula>""</formula>
    </cfRule>
  </conditionalFormatting>
  <conditionalFormatting sqref="J3:P3">
    <cfRule type="cellIs" dxfId="145" priority="3" operator="equal">
      <formula>"PPA ext."</formula>
    </cfRule>
    <cfRule type="cellIs" dxfId="144" priority="4" operator="equal">
      <formula>"Delay"</formula>
    </cfRule>
    <cfRule type="cellIs" dxfId="143" priority="5" operator="equal">
      <formula>"Fin Close"</formula>
    </cfRule>
    <cfRule type="cellIs" dxfId="142" priority="6" stopIfTrue="1" operator="equal">
      <formula>"Construction"</formula>
    </cfRule>
    <cfRule type="cellIs" dxfId="14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77734375" bestFit="1" customWidth="1"/>
    <col min="11" max="12" width="13.21875" bestFit="1" customWidth="1"/>
    <col min="13" max="14" width="14.44140625" bestFit="1" customWidth="1"/>
    <col min="15" max="16" width="15.109375" customWidth="1"/>
  </cols>
  <sheetData>
    <row r="1" spans="1:16" s="72" customFormat="1" ht="25">
      <c r="A1" s="46" t="str">
        <f ca="1" xml:space="preserve"> RIGHT(CELL("filename", A1), LEN(CELL("filename", A1)) - SEARCH("]", CELL("filename", A1)))</f>
        <v>Balance Sheet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4"/>
      <c r="D3" s="78"/>
      <c r="E3" s="41" t="s">
        <v>207</v>
      </c>
      <c r="F3" s="52"/>
      <c r="G3" s="56" t="s">
        <v>98</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4"/>
      <c r="D4" s="78"/>
      <c r="E4" s="22" t="s">
        <v>333</v>
      </c>
      <c r="F4"/>
      <c r="G4"/>
      <c r="H4" s="50"/>
      <c r="I4" s="50"/>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Assets!E$24</f>
        <v>Inventory</v>
      </c>
      <c r="F8" s="17">
        <f xml:space="preserve"> Assets!F$24</f>
        <v>0</v>
      </c>
      <c r="G8" s="17" t="str">
        <f xml:space="preserve"> Assets!G$24</f>
        <v>GBP</v>
      </c>
      <c r="H8" s="44">
        <f xml:space="preserve"> Assets!H$24</f>
        <v>0</v>
      </c>
      <c r="I8" s="17">
        <f xml:space="preserve"> Assets!I$24</f>
        <v>0</v>
      </c>
      <c r="J8" s="10">
        <f ca="1" xml:space="preserve"> SUMIF( Time!$J302:$BQ302, Time!J$28, Assets!$J24:$BQ24)</f>
        <v>1750000</v>
      </c>
      <c r="K8" s="10">
        <f ca="1" xml:space="preserve"> SUMIF( Time!$J302:$BQ302, Time!K$28, Assets!$J24:$BQ24)</f>
        <v>4375000</v>
      </c>
      <c r="L8" s="10">
        <f ca="1" xml:space="preserve"> SUMIF( Time!$J302:$BQ302, Time!L$28, Assets!$J24:$BQ24)</f>
        <v>10570000</v>
      </c>
      <c r="M8" s="10">
        <f ca="1" xml:space="preserve"> SUMIF( Time!$J302:$BQ302, Time!M$28, Assets!$J24:$BQ24)</f>
        <v>22676998.094606489</v>
      </c>
      <c r="N8" s="10">
        <f ca="1" xml:space="preserve"> SUMIF( Time!$J302:$BQ302, Time!N$28, Assets!$J24:$BQ24)</f>
        <v>45868994.283819467</v>
      </c>
    </row>
    <row r="9" spans="1:16">
      <c r="E9" s="17" t="str">
        <f xml:space="preserve"> Assets!E$34</f>
        <v xml:space="preserve">Depreciation </v>
      </c>
      <c r="F9" s="17">
        <f xml:space="preserve"> Assets!F$34</f>
        <v>0</v>
      </c>
      <c r="G9" s="17" t="str">
        <f xml:space="preserve"> Assets!G$34</f>
        <v>GBP</v>
      </c>
      <c r="H9" s="44">
        <f xml:space="preserve"> Assets!H$34</f>
        <v>0</v>
      </c>
      <c r="I9" s="17">
        <f xml:space="preserve"> Assets!I$34</f>
        <v>0</v>
      </c>
      <c r="J9" s="10">
        <f ca="1" xml:space="preserve"> SUMIF( Time!$J302:$BQ302, Time!J$28, Assets!$J34:$BQ34)</f>
        <v>-167708.33333333331</v>
      </c>
      <c r="K9" s="10">
        <f ca="1" xml:space="preserve"> SUMIF( Time!$J302:$BQ302, Time!K$28, Assets!$J34:$BQ34)</f>
        <v>-1071875</v>
      </c>
      <c r="L9" s="10">
        <f ca="1" xml:space="preserve"> SUMIF( Time!$J302:$BQ302, Time!L$28, Assets!$J34:$BQ34)</f>
        <v>-1685833.3333333333</v>
      </c>
      <c r="M9" s="10">
        <f ca="1" xml:space="preserve"> SUMIF( Time!$J302:$BQ302, Time!M$28, Assets!$J34:$BQ34)</f>
        <v>-3022835.8214476039</v>
      </c>
      <c r="N9" s="10">
        <f ca="1" xml:space="preserve"> SUMIF( Time!$J302:$BQ302, Time!N$28, Assets!$J34:$BQ34)</f>
        <v>-5045506.5116460565</v>
      </c>
    </row>
    <row r="10" spans="1:16">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Time!$J302:$BQ302, Time!J$28, 'Working Capital'!$J45:$BQ45)</f>
        <v>5040000</v>
      </c>
      <c r="K10" s="10">
        <f ca="1" xml:space="preserve"> SUMIF( Time!$J302:$BQ302, Time!K$28, 'Working Capital'!$J45:$BQ45)</f>
        <v>10080000</v>
      </c>
      <c r="L10" s="10">
        <f ca="1" xml:space="preserve"> SUMIF( Time!$J302:$BQ302, Time!L$28, 'Working Capital'!$J45:$BQ45)</f>
        <v>20160000</v>
      </c>
      <c r="M10" s="10">
        <f ca="1" xml:space="preserve"> SUMIF( Time!$J302:$BQ302, Time!M$28, 'Working Capital'!$J45:$BQ45)</f>
        <v>47880000</v>
      </c>
      <c r="N10" s="10">
        <f ca="1" xml:space="preserve"> SUMIF( Time!$J302:$BQ302, Time!N$28, 'Working Capital'!$J45:$BQ45)</f>
        <v>95760000</v>
      </c>
    </row>
    <row r="11" spans="1:16">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Time!$J302:$BQ302, Time!J$28, Financials!$J13:$BQ13)</f>
        <v>2472193.3165630135</v>
      </c>
      <c r="K11" s="10">
        <f ca="1" xml:space="preserve"> SUMIF( Time!$J302:$BQ302, Time!K$28, Financials!$J13:$BQ13)</f>
        <v>20335597.073989335</v>
      </c>
      <c r="L11" s="10">
        <f ca="1" xml:space="preserve"> SUMIF( Time!$J302:$BQ302, Time!L$28, Financials!$J13:$BQ13)</f>
        <v>64262517.036365427</v>
      </c>
      <c r="M11" s="10">
        <f ca="1" xml:space="preserve"> SUMIF( Time!$J302:$BQ302, Time!M$28, Financials!$J13:$BQ13)</f>
        <v>176366212.33554223</v>
      </c>
      <c r="N11" s="10">
        <f ca="1" xml:space="preserve"> SUMIF( Time!$J302:$BQ302, Time!N$28, Financials!$J13:$BQ13)</f>
        <v>419383336.21187401</v>
      </c>
    </row>
    <row r="12" spans="1:16">
      <c r="E12" s="12" t="s">
        <v>86</v>
      </c>
      <c r="F12" s="30"/>
      <c r="G12" s="12" t="s">
        <v>257</v>
      </c>
      <c r="H12" s="54"/>
      <c r="I12" s="30"/>
      <c r="J12" s="12">
        <f ca="1" xml:space="preserve"> SUMIF( Time!$J302:$BQ302, Time!J$28, 'Balance Sheet'!$J12:$BQ12)</f>
        <v>9094484.98322968</v>
      </c>
      <c r="K12" s="12">
        <f ca="1" xml:space="preserve"> SUMIF( Time!$J302:$BQ302, Time!K$28, 'Balance Sheet'!$J12:$BQ12)</f>
        <v>33718722.073989332</v>
      </c>
      <c r="L12" s="12">
        <f ca="1" xml:space="preserve"> SUMIF( Time!$J302:$BQ302, Time!L$28, 'Balance Sheet'!$J12:$BQ12)</f>
        <v>93306683.703032091</v>
      </c>
      <c r="M12" s="12">
        <f ca="1" xml:space="preserve"> SUMIF( Time!$J302:$BQ302, Time!M$28, 'Balance Sheet'!$J12:$BQ12)</f>
        <v>243900374.60870111</v>
      </c>
      <c r="N12" s="12">
        <f ca="1" xml:space="preserve"> SUMIF( Time!$J302:$BQ302, Time!N$28, 'Balance Sheet'!$J12:$BQ12)</f>
        <v>555966823.98404741</v>
      </c>
    </row>
    <row r="14" spans="1:16">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Time!$J302:$BQ302, Time!J$28, Income!$J27:$BQ27)</f>
        <v>6405000</v>
      </c>
      <c r="K14" s="10">
        <f ca="1" xml:space="preserve"> SUMIF( Time!$J302:$BQ302, Time!K$28, Income!$J27:$BQ27)</f>
        <v>13119645.813394628</v>
      </c>
      <c r="L14" s="10">
        <f ca="1" xml:space="preserve"> SUMIF( Time!$J302:$BQ302, Time!L$28, Income!$J27:$BQ27)</f>
        <v>36394645.813394628</v>
      </c>
      <c r="M14" s="10">
        <f ca="1" xml:space="preserve"> SUMIF( Time!$J302:$BQ302, Time!M$28, Income!$J27:$BQ27)</f>
        <v>104617542.2746014</v>
      </c>
      <c r="N14" s="10">
        <f ca="1" xml:space="preserve"> SUMIF( Time!$J302:$BQ302, Time!N$28, Income!$J27:$BQ27)</f>
        <v>243514358.06173703</v>
      </c>
    </row>
    <row r="15" spans="1:16">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Time!$J302:$BQ302, Time!J$28, 'Working Capital'!$J36:$BQ36)</f>
        <v>692999.99999999977</v>
      </c>
      <c r="K15" s="10">
        <f ca="1" xml:space="preserve"> SUMIF( Time!$J302:$BQ302, Time!K$28, 'Working Capital'!$J36:$BQ36)</f>
        <v>1732499.9999999998</v>
      </c>
      <c r="L15" s="10">
        <f ca="1" xml:space="preserve"> SUMIF( Time!$J302:$BQ302, Time!L$28, 'Working Capital'!$J36:$BQ36)</f>
        <v>4536000</v>
      </c>
      <c r="M15" s="10">
        <f ca="1" xml:space="preserve"> SUMIF( Time!$J302:$BQ302, Time!M$28, 'Working Capital'!$J36:$BQ36)</f>
        <v>9124500</v>
      </c>
      <c r="N15" s="10">
        <f ca="1" xml:space="preserve"> SUMIF( Time!$J302:$BQ302, Time!N$28, 'Working Capital'!$J36:$BQ36)</f>
        <v>18606000</v>
      </c>
    </row>
    <row r="16" spans="1:16">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Time!$J302:$BQ302, Time!J$28, 'Supply Chain finance'!$J15:$BQ15)</f>
        <v>0</v>
      </c>
      <c r="K16" s="10">
        <f ca="1" xml:space="preserve"> SUMIF( Time!$J302:$BQ302, Time!K$28, 'Supply Chain finance'!$J15:$BQ15)</f>
        <v>0</v>
      </c>
      <c r="L16" s="10">
        <f ca="1" xml:space="preserve"> SUMIF( Time!$J302:$BQ302, Time!L$28, 'Supply Chain finance'!$J15:$BQ15)</f>
        <v>0</v>
      </c>
      <c r="M16" s="10">
        <f ca="1" xml:space="preserve"> SUMIF( Time!$J302:$BQ302, Time!M$28, 'Supply Chain finance'!$J15:$BQ15)</f>
        <v>0</v>
      </c>
      <c r="N16" s="10">
        <f ca="1" xml:space="preserve"> SUMIF( Time!$J302:$BQ302, Time!N$28,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Time!$J302:$BQ302, Time!J$28, 'Invoice finance'!$J15:$BQ15)</f>
        <v>0</v>
      </c>
      <c r="K17" s="10">
        <f ca="1" xml:space="preserve"> SUMIF( Time!$J302:$BQ302, Time!K$28, 'Invoice finance'!$J15:$BQ15)</f>
        <v>0</v>
      </c>
      <c r="L17" s="10">
        <f ca="1" xml:space="preserve"> SUMIF( Time!$J302:$BQ302, Time!L$28, 'Invoice finance'!$J15:$BQ15)</f>
        <v>0</v>
      </c>
      <c r="M17" s="10">
        <f ca="1" xml:space="preserve"> SUMIF( Time!$J302:$BQ302, Time!M$28, 'Invoice finance'!$J15:$BQ15)</f>
        <v>0</v>
      </c>
      <c r="N17" s="10">
        <f ca="1" xml:space="preserve"> SUMIF( Time!$J302:$BQ302, Time!N$28,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Time!$J302:$BQ302, Time!J$28, 'Asset Finance'!$J15:$BQ15)</f>
        <v>0</v>
      </c>
      <c r="K18" s="10">
        <f ca="1" xml:space="preserve"> SUMIF( Time!$J302:$BQ302, Time!K$28, 'Asset Finance'!$J15:$BQ15)</f>
        <v>0</v>
      </c>
      <c r="L18" s="10">
        <f ca="1" xml:space="preserve"> SUMIF( Time!$J302:$BQ302, Time!L$28, 'Asset Finance'!$J15:$BQ15)</f>
        <v>0</v>
      </c>
      <c r="M18" s="10">
        <f ca="1" xml:space="preserve"> SUMIF( Time!$J302:$BQ302, Time!M$28, 'Asset Finance'!$J15:$BQ15)</f>
        <v>0</v>
      </c>
      <c r="N18" s="10">
        <f ca="1" xml:space="preserve"> SUMIF( Time!$J302:$BQ302, Time!N$28, 'Asset Finance'!$J15:$BQ15)</f>
        <v>0</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Time!$J302:$BQ302, Time!J$28, VAT!$J32:$BQ32)</f>
        <v>-23686.826870344114</v>
      </c>
      <c r="K19" s="10">
        <f ca="1" xml:space="preserve"> SUMIF( Time!$J302:$BQ302, Time!K$28, VAT!$J32:$BQ32)</f>
        <v>305044.1707389825</v>
      </c>
      <c r="L19" s="10">
        <f ca="1" xml:space="preserve"> SUMIF( Time!$J302:$BQ302, Time!L$28, VAT!$J32:$BQ32)</f>
        <v>1398848.6756747691</v>
      </c>
      <c r="M19" s="10">
        <f ca="1" xml:space="preserve"> SUMIF( Time!$J302:$BQ302, Time!M$28, VAT!$J32:$BQ32)</f>
        <v>3640623.6012510099</v>
      </c>
      <c r="N19" s="10">
        <f ca="1" xml:space="preserve"> SUMIF( Time!$J302:$BQ302, Time!N$28, VAT!$J32:$BQ32)</f>
        <v>7284466.817497842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Time!$J302:$BQ302, Time!J$28, 'Corporation tax'!$J78:$BQ78)</f>
        <v>450976.02868667158</v>
      </c>
      <c r="K20" s="10">
        <f ca="1" xml:space="preserve"> SUMIF( Time!$J302:$BQ302, Time!K$28, 'Corporation tax'!$J78:$BQ78)</f>
        <v>3015305.6722375061</v>
      </c>
      <c r="L20" s="10">
        <f ca="1" xml:space="preserve"> SUMIF( Time!$J302:$BQ302, Time!L$28, 'Corporation tax'!$J78:$BQ78)</f>
        <v>6311789.5763919428</v>
      </c>
      <c r="M20" s="10">
        <f ca="1" xml:space="preserve"> SUMIF( Time!$J302:$BQ302, Time!M$28, 'Corporation tax'!$J78:$BQ78)</f>
        <v>14764009.528499331</v>
      </c>
      <c r="N20" s="10">
        <f ca="1" xml:space="preserve"> SUMIF( Time!$J302:$BQ302, Time!N$28, 'Corporation tax'!$J78:$BQ78)</f>
        <v>31079993.489456456</v>
      </c>
    </row>
    <row r="21" spans="5:16384">
      <c r="E21" s="12" t="s">
        <v>227</v>
      </c>
      <c r="F21" s="30"/>
      <c r="G21" s="12" t="s">
        <v>257</v>
      </c>
      <c r="H21" s="54"/>
      <c r="I21" s="30"/>
      <c r="J21" s="12">
        <f ca="1" xml:space="preserve"> SUMIF( Time!$J302:$BQ302, Time!J$28, 'Balance Sheet'!$J21:$BQ21)</f>
        <v>7525289.2018163269</v>
      </c>
      <c r="K21" s="12">
        <f ca="1" xml:space="preserve"> SUMIF( Time!$J302:$BQ302, Time!K$28, 'Balance Sheet'!$J21:$BQ21)</f>
        <v>18172495.656371117</v>
      </c>
      <c r="L21" s="12">
        <f ca="1" xml:space="preserve"> SUMIF( Time!$J302:$BQ302, Time!L$28, 'Balance Sheet'!$J21:$BQ21)</f>
        <v>48641284.065461338</v>
      </c>
      <c r="M21" s="12">
        <f ca="1" xml:space="preserve"> SUMIF( Time!$J302:$BQ302, Time!M$28, 'Balance Sheet'!$J21:$BQ21)</f>
        <v>132146675.40435174</v>
      </c>
      <c r="N21" s="12">
        <f ca="1" xml:space="preserve"> SUMIF( Time!$J302:$BQ302, Time!N$28, 'Balance Sheet'!$J21:$BQ21)</f>
        <v>300484818.36869133</v>
      </c>
    </row>
    <row r="23" spans="5:16384">
      <c r="E23" s="68" t="str">
        <f xml:space="preserve"> Financials!E$24</f>
        <v>Net Assets</v>
      </c>
      <c r="F23" s="68"/>
      <c r="G23" s="68" t="str">
        <f xml:space="preserve"> Financials!G$24</f>
        <v>GBP</v>
      </c>
      <c r="H23" s="110">
        <f xml:space="preserve"> Financials!H$24</f>
        <v>0</v>
      </c>
      <c r="I23" s="68">
        <f xml:space="preserve"> Financials!I$24</f>
        <v>0</v>
      </c>
      <c r="J23" s="19">
        <f ca="1" xml:space="preserve"> SUMIF( Time!$J302:$BQ302, Time!J$28, Financials!$J24:$BQ24)</f>
        <v>1569195.781413353</v>
      </c>
      <c r="K23" s="19">
        <f ca="1" xml:space="preserve"> SUMIF( Time!$J302:$BQ302, Time!K$28, Financials!$J24:$BQ24)</f>
        <v>15546226.417618215</v>
      </c>
      <c r="L23" s="19">
        <f ca="1" xml:space="preserve"> SUMIF( Time!$J302:$BQ302, Time!L$28, Financials!$J24:$BQ24)</f>
        <v>44665399.637570754</v>
      </c>
      <c r="M23" s="19">
        <f ca="1" xml:space="preserve"> SUMIF( Time!$J302:$BQ302, Time!M$28, Financials!$J24:$BQ24)</f>
        <v>111753699.20434937</v>
      </c>
      <c r="N23" s="19">
        <f ca="1" xml:space="preserve"> SUMIF( Time!$J302:$BQ302, Time!N$28, Financials!$J24:$BQ24)</f>
        <v>255482005.61535609</v>
      </c>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Time!$J302:$BQ302, Time!J$28, Financials!$J38:$BQ38)</f>
        <v>1569195.781413353</v>
      </c>
      <c r="K25" s="10">
        <f ca="1" xml:space="preserve"> SUMIF( Time!$J302:$BQ302, Time!K$28, Financials!$J38:$BQ38)</f>
        <v>15546226.417618219</v>
      </c>
      <c r="L25" s="10">
        <f ca="1" xml:space="preserve"> SUMIF( Time!$J302:$BQ302, Time!L$28, Financials!$J38:$BQ38)</f>
        <v>44665399.637570739</v>
      </c>
      <c r="M25" s="10">
        <f ca="1" xml:space="preserve"> SUMIF( Time!$J302:$BQ302, Time!M$28, Financials!$J38:$BQ38)</f>
        <v>111753699.20434938</v>
      </c>
      <c r="N25" s="10">
        <f ca="1" xml:space="preserve"> SUMIF( Time!$J302:$BQ302, Time!N$28, Financials!$J38:$BQ38)</f>
        <v>255482005.61535621</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Time!$J302:$BQ302, Time!J$28, Equity!$J13:$BQ13)</f>
        <v>0</v>
      </c>
      <c r="K26" s="10">
        <f xml:space="preserve"> SUMIF( Time!$J302:$BQ302, Time!K$28, Equity!$J13:$BQ13)</f>
        <v>0</v>
      </c>
      <c r="L26" s="10">
        <f xml:space="preserve"> SUMIF( Time!$J302:$BQ302, Time!L$28, Equity!$J13:$BQ13)</f>
        <v>0</v>
      </c>
      <c r="M26" s="10">
        <f xml:space="preserve"> SUMIF( Time!$J302:$BQ302, Time!M$28, Equity!$J13:$BQ13)</f>
        <v>0</v>
      </c>
      <c r="N26" s="10">
        <f xml:space="preserve"> SUMIF( Time!$J302:$BQ302, Time!N$28, Equity!$J13:$BQ13)</f>
        <v>0</v>
      </c>
    </row>
    <row r="27" spans="5:16384">
      <c r="E27" s="68" t="str">
        <f xml:space="preserve"> Financials!E$30</f>
        <v>Shareholder Equity</v>
      </c>
      <c r="F27" s="68"/>
      <c r="G27" s="68" t="str">
        <f xml:space="preserve"> Financials!G$30</f>
        <v>GBP</v>
      </c>
      <c r="H27" s="110">
        <f xml:space="preserve"> Financials!H$30</f>
        <v>0</v>
      </c>
      <c r="I27" s="68">
        <f xml:space="preserve"> Financials!I$30</f>
        <v>0</v>
      </c>
      <c r="J27" s="19">
        <f ca="1" xml:space="preserve"> SUMIF( Time!$J302:$BQ302, Time!J$28, Financials!$J30:$BQ30)</f>
        <v>1569195.781413353</v>
      </c>
      <c r="K27" s="19">
        <f ca="1" xml:space="preserve"> SUMIF( Time!$J302:$BQ302, Time!K$28, Financials!$J30:$BQ30)</f>
        <v>15546226.417618219</v>
      </c>
      <c r="L27" s="19">
        <f ca="1" xml:space="preserve"> SUMIF( Time!$J302:$BQ302, Time!L$28, Financials!$J30:$BQ30)</f>
        <v>44665399.637570739</v>
      </c>
      <c r="M27" s="19">
        <f ca="1" xml:space="preserve"> SUMIF( Time!$J302:$BQ302, Time!M$28, Financials!$J30:$BQ30)</f>
        <v>111753699.20434938</v>
      </c>
      <c r="N27" s="19">
        <f ca="1" xml:space="preserve"> SUMIF( Time!$J302:$BQ302, Time!N$28, Financials!$J30:$BQ30)</f>
        <v>255482005.61535621</v>
      </c>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140" priority="1" stopIfTrue="1" operator="notEqual">
      <formula>0</formula>
    </cfRule>
    <cfRule type="cellIs" dxfId="139" priority="2" stopIfTrue="1" operator="equal">
      <formula>""</formula>
    </cfRule>
  </conditionalFormatting>
  <conditionalFormatting sqref="J3:P3">
    <cfRule type="cellIs" dxfId="138" priority="3" operator="equal">
      <formula>"PPA ext."</formula>
    </cfRule>
    <cfRule type="cellIs" dxfId="137" priority="4" operator="equal">
      <formula>"Delay"</formula>
    </cfRule>
    <cfRule type="cellIs" dxfId="136" priority="5" operator="equal">
      <formula>"Fin Close"</formula>
    </cfRule>
    <cfRule type="cellIs" dxfId="135" priority="6" stopIfTrue="1" operator="equal">
      <formula>"Construction"</formula>
    </cfRule>
    <cfRule type="cellIs" dxfId="13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4F81BD"/>
    <outlinePr summaryBelow="0" summaryRight="0"/>
  </sheetPr>
  <dimension ref="A1:P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44" bestFit="1" customWidth="1"/>
    <col min="6" max="6" width="20.5546875" bestFit="1" customWidth="1"/>
    <col min="7" max="7" width="13.21875" bestFit="1" customWidth="1"/>
    <col min="8" max="8" width="15.109375" style="45" customWidth="1"/>
    <col min="9" max="9" width="3.44140625" customWidth="1"/>
    <col min="10" max="10" width="12.44140625" bestFit="1" customWidth="1"/>
    <col min="11" max="11" width="13.21875" bestFit="1" customWidth="1"/>
    <col min="12" max="12" width="13.88671875" bestFit="1" customWidth="1"/>
    <col min="13" max="14" width="14.44140625" bestFit="1" customWidth="1"/>
    <col min="15"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Cashflow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4"/>
      <c r="D3" s="78"/>
      <c r="E3" s="41" t="s">
        <v>207</v>
      </c>
      <c r="F3" s="52"/>
      <c r="G3" s="56" t="s">
        <v>98</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4"/>
      <c r="D4" s="78"/>
      <c r="E4" s="22" t="s">
        <v>333</v>
      </c>
      <c r="F4"/>
      <c r="G4"/>
      <c r="H4" s="50"/>
      <c r="I4" s="50"/>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'Working Capital'!E$22</f>
        <v>Cash in from Sales</v>
      </c>
      <c r="F8" s="17">
        <f xml:space="preserve"> 'Working Capital'!F$22</f>
        <v>0</v>
      </c>
      <c r="G8" s="17" t="str">
        <f xml:space="preserve"> 'Working Capital'!G$22</f>
        <v>GBP</v>
      </c>
      <c r="H8" s="44">
        <f ca="1" xml:space="preserve"> 'Working Capital'!H$22</f>
        <v>690480000</v>
      </c>
      <c r="I8" s="17">
        <f xml:space="preserve"> 'Working Capital'!I$22</f>
        <v>0</v>
      </c>
      <c r="J8" s="10">
        <f ca="1" xml:space="preserve"> SUMIF( Time!$J297:$BQ297, Time!J$28, 'Working Capital'!$J22:$BQ22)</f>
        <v>7560000</v>
      </c>
      <c r="K8" s="10">
        <f ca="1" xml:space="preserve"> SUMIF( Time!$J297:$BQ297, Time!K$28, 'Working Capital'!$J22:$BQ22)</f>
        <v>30240000</v>
      </c>
      <c r="L8" s="10">
        <f ca="1" xml:space="preserve"> SUMIF( Time!$J297:$BQ297, Time!L$28, 'Working Capital'!$J22:$BQ22)</f>
        <v>75600000</v>
      </c>
      <c r="M8" s="10">
        <f ca="1" xml:space="preserve"> SUMIF( Time!$J297:$BQ297, Time!M$28, 'Working Capital'!$J22:$BQ22)</f>
        <v>183960000</v>
      </c>
      <c r="N8" s="10">
        <f ca="1" xml:space="preserve"> SUMIF( Time!$J297:$BQ297, Time!N$28, 'Working Capital'!$J22:$BQ22)</f>
        <v>393120000</v>
      </c>
    </row>
    <row r="9" spans="1:16">
      <c r="E9" s="17" t="str">
        <f xml:space="preserve"> 'Working Capital'!E$52</f>
        <v xml:space="preserve">Cash out on Operating Expense </v>
      </c>
      <c r="F9" s="17">
        <f xml:space="preserve"> 'Working Capital'!F$52</f>
        <v>0</v>
      </c>
      <c r="G9" s="17" t="str">
        <f xml:space="preserve"> 'Working Capital'!G$52</f>
        <v>GBP</v>
      </c>
      <c r="H9" s="44">
        <f ca="1" xml:space="preserve"> 'Working Capital'!H$52</f>
        <v>-78274069.097712979</v>
      </c>
      <c r="I9" s="17">
        <f xml:space="preserve"> 'Working Capital'!I$52</f>
        <v>0</v>
      </c>
      <c r="J9" s="10">
        <f ca="1" xml:space="preserve"> SUMIF( Time!$J297:$BQ297, Time!J$28, 'Working Capital'!$J52:$BQ52)</f>
        <v>-2097831.8422233067</v>
      </c>
      <c r="K9" s="10">
        <f ca="1" xml:space="preserve"> SUMIF( Time!$J297:$BQ297, Time!K$28, 'Working Capital'!$J52:$BQ52)</f>
        <v>-4492243.3138175504</v>
      </c>
      <c r="L9" s="10">
        <f ca="1" xml:space="preserve"> SUMIF( Time!$J297:$BQ297, Time!L$28, 'Working Capital'!$J52:$BQ52)</f>
        <v>-10225694.114231935</v>
      </c>
      <c r="M9" s="10">
        <f ca="1" xml:space="preserve"> SUMIF( Time!$J297:$BQ297, Time!M$28, 'Working Capital'!$J52:$BQ52)</f>
        <v>-20622770.947278712</v>
      </c>
      <c r="N9" s="10">
        <f ca="1" xml:space="preserve"> SUMIF( Time!$J297:$BQ297, Time!N$28, 'Working Capital'!$J52:$BQ52)</f>
        <v>-40835528.880161472</v>
      </c>
    </row>
    <row r="10" spans="1:16">
      <c r="E10" s="17" t="str">
        <f xml:space="preserve"> VAT!E$38</f>
        <v xml:space="preserve">VAT paid </v>
      </c>
      <c r="F10" s="17">
        <f xml:space="preserve"> VAT!F$38</f>
        <v>0</v>
      </c>
      <c r="G10" s="17" t="str">
        <f xml:space="preserve"> VAT!G$38</f>
        <v>GBP</v>
      </c>
      <c r="H10" s="44">
        <f ca="1" xml:space="preserve"> VAT!H$38</f>
        <v>-105089708.7190737</v>
      </c>
      <c r="I10" s="17">
        <f xml:space="preserve"> VAT!I$38</f>
        <v>0</v>
      </c>
      <c r="J10" s="10">
        <f ca="1" xml:space="preserve"> SUMIF( Time!$J297:$BQ297, Time!J$28, VAT!$J38:$BQ38)</f>
        <v>-1582974.8412136801</v>
      </c>
      <c r="K10" s="10">
        <f ca="1" xml:space="preserve"> SUMIF( Time!$J297:$BQ297, Time!K$28, VAT!$J38:$BQ38)</f>
        <v>-4617883.2465890776</v>
      </c>
      <c r="L10" s="10">
        <f ca="1" xml:space="preserve"> SUMIF( Time!$J297:$BQ297, Time!L$28, VAT!$J38:$BQ38)</f>
        <v>-10751586.939224947</v>
      </c>
      <c r="M10" s="10">
        <f ca="1" xml:space="preserve"> SUMIF( Time!$J297:$BQ297, Time!M$28, VAT!$J38:$BQ38)</f>
        <v>-28118427.71558024</v>
      </c>
      <c r="N10" s="10">
        <f ca="1" xml:space="preserve"> SUMIF( Time!$J297:$BQ297, Time!N$28, VAT!$J38:$BQ38)</f>
        <v>-60018835.976465762</v>
      </c>
    </row>
    <row r="11" spans="1:16">
      <c r="E11" s="17" t="str">
        <f xml:space="preserve"> 'Corporation tax'!E$69</f>
        <v xml:space="preserve">Corporation tax paid </v>
      </c>
      <c r="F11" s="17">
        <f xml:space="preserve"> 'Corporation tax'!F$69</f>
        <v>0</v>
      </c>
      <c r="G11" s="17" t="str">
        <f xml:space="preserve"> 'Corporation tax'!G$69</f>
        <v>GBP</v>
      </c>
      <c r="H11" s="44">
        <f ca="1" xml:space="preserve"> 'Corporation tax'!H$69</f>
        <v>-37038885.971339248</v>
      </c>
      <c r="I11" s="17">
        <f xml:space="preserve"> 'Corporation tax'!I$69</f>
        <v>0</v>
      </c>
      <c r="J11" s="10">
        <f ca="1" xml:space="preserve"> SUMIF( Time!$J297:$BQ297, Time!J$28, 'Corporation tax'!$J69:$BQ69)</f>
        <v>0</v>
      </c>
      <c r="K11" s="10">
        <f ca="1" xml:space="preserve"> SUMIF( Time!$J297:$BQ297, Time!K$28, 'Corporation tax'!$J69:$BQ69)</f>
        <v>-1155969.6821670486</v>
      </c>
      <c r="L11" s="10">
        <f ca="1" xml:space="preserve"> SUMIF( Time!$J297:$BQ297, Time!L$28, 'Corporation tax'!$J69:$BQ69)</f>
        <v>-4469298.9841670301</v>
      </c>
      <c r="M11" s="10">
        <f ca="1" xml:space="preserve"> SUMIF( Time!$J297:$BQ297, Time!M$28, 'Corporation tax'!$J69:$BQ69)</f>
        <v>-9433606.0379642248</v>
      </c>
      <c r="N11" s="10">
        <f ca="1" xml:space="preserve"> SUMIF( Time!$J297:$BQ297, Time!N$28, 'Corporation tax'!$J69:$BQ69)</f>
        <v>-21980011.267040946</v>
      </c>
    </row>
    <row r="12" spans="1:16">
      <c r="E12" s="12" t="s">
        <v>113</v>
      </c>
      <c r="F12" s="30"/>
      <c r="G12" s="12" t="s">
        <v>257</v>
      </c>
      <c r="H12" s="54">
        <f ca="1" xml:space="preserve"> SUM( J12:BQ12 )</f>
        <v>470077336.21187401</v>
      </c>
      <c r="I12" s="30"/>
      <c r="J12" s="12">
        <f ca="1" xml:space="preserve"> SUMIF( Time!$J297:$BQ297, Time!J$28, Cashflow!$J12:$BQ12)</f>
        <v>3879193.3165630135</v>
      </c>
      <c r="K12" s="12">
        <f ca="1" xml:space="preserve"> SUMIF( Time!$J297:$BQ297, Time!K$28, Cashflow!$J12:$BQ12)</f>
        <v>19973903.757426322</v>
      </c>
      <c r="L12" s="12">
        <f ca="1" xml:space="preserve"> SUMIF( Time!$J297:$BQ297, Time!L$28, Cashflow!$J12:$BQ12)</f>
        <v>50153419.96237608</v>
      </c>
      <c r="M12" s="12">
        <f ca="1" xml:space="preserve"> SUMIF( Time!$J297:$BQ297, Time!M$28, Cashflow!$J12:$BQ12)</f>
        <v>125785195.29917681</v>
      </c>
      <c r="N12" s="12">
        <f ca="1" xml:space="preserve"> SUMIF( Time!$J297:$BQ297, Time!N$28, Cashflow!$J12:$BQ12)</f>
        <v>270285623.87633181</v>
      </c>
    </row>
    <row r="14" spans="1:16">
      <c r="E14" s="17" t="str">
        <f xml:space="preserve"> 'Working Capital'!E$15</f>
        <v xml:space="preserve">Cash out on Inventory </v>
      </c>
      <c r="F14" s="17">
        <f xml:space="preserve"> 'Working Capital'!F$15</f>
        <v>0</v>
      </c>
      <c r="G14" s="17" t="str">
        <f xml:space="preserve"> 'Working Capital'!G$15</f>
        <v>GBP</v>
      </c>
      <c r="H14" s="44">
        <f ca="1" xml:space="preserve"> 'Working Capital'!H$15</f>
        <v>-50694000</v>
      </c>
      <c r="I14" s="17">
        <f xml:space="preserve"> 'Working Capital'!I$15</f>
        <v>0</v>
      </c>
      <c r="J14" s="10">
        <f ca="1" xml:space="preserve"> SUMIF( Time!$J297:$BQ297, Time!J$28, 'Working Capital'!$J15:$BQ15)</f>
        <v>-1407000</v>
      </c>
      <c r="K14" s="10">
        <f ca="1" xml:space="preserve"> SUMIF( Time!$J297:$BQ297, Time!K$28, 'Working Capital'!$J15:$BQ15)</f>
        <v>-2110499.9999999995</v>
      </c>
      <c r="L14" s="10">
        <f ca="1" xml:space="preserve"> SUMIF( Time!$J297:$BQ297, Time!L$28, 'Working Capital'!$J15:$BQ15)</f>
        <v>-6226500</v>
      </c>
      <c r="M14" s="10">
        <f ca="1" xml:space="preserve"> SUMIF( Time!$J297:$BQ297, Time!M$28, 'Working Capital'!$J15:$BQ15)</f>
        <v>-13681500</v>
      </c>
      <c r="N14" s="10">
        <f ca="1" xml:space="preserve"> SUMIF( Time!$J297:$BQ297, Time!N$28, 'Working Capital'!$J15:$BQ15)</f>
        <v>-27268500</v>
      </c>
    </row>
    <row r="15" spans="1:16">
      <c r="E15" s="12" t="s">
        <v>19</v>
      </c>
      <c r="F15" s="30"/>
      <c r="G15" s="12" t="s">
        <v>257</v>
      </c>
      <c r="H15" s="54">
        <f ca="1" xml:space="preserve"> SUM( J15:BQ15 )</f>
        <v>419383336.21187413</v>
      </c>
      <c r="I15" s="30"/>
      <c r="J15" s="12">
        <f ca="1" xml:space="preserve"> SUMIF( Time!$J297:$BQ297, Time!J$28, Cashflow!$J15:$BQ15)</f>
        <v>2472193.3165630135</v>
      </c>
      <c r="K15" s="12">
        <f ca="1" xml:space="preserve"> SUMIF( Time!$J297:$BQ297, Time!K$28, Cashflow!$J15:$BQ15)</f>
        <v>17863403.757426322</v>
      </c>
      <c r="L15" s="12">
        <f ca="1" xml:space="preserve"> SUMIF( Time!$J297:$BQ297, Time!L$28, Cashflow!$J15:$BQ15)</f>
        <v>43926919.962376095</v>
      </c>
      <c r="M15" s="12">
        <f ca="1" xml:space="preserve"> SUMIF( Time!$J297:$BQ297, Time!M$28, Cashflow!$J15:$BQ15)</f>
        <v>112103695.29917681</v>
      </c>
      <c r="N15" s="12">
        <f ca="1" xml:space="preserve"> SUMIF( Time!$J297:$BQ297, Time!N$28, Cashflow!$J15:$BQ15)</f>
        <v>243017123.87633184</v>
      </c>
    </row>
    <row r="17" spans="5:14">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0</v>
      </c>
      <c r="I17" s="17">
        <f xml:space="preserve"> 'Supply Chain finance'!I$22</f>
        <v>0</v>
      </c>
      <c r="J17" s="10">
        <f xml:space="preserve"> SUMIF( Time!$J297:$BQ297, Time!J$28, 'Supply Chain finance'!$J22:$BQ22)</f>
        <v>0</v>
      </c>
      <c r="K17" s="10">
        <f ca="1" xml:space="preserve"> SUMIF( Time!$J297:$BQ297, Time!K$28, 'Supply Chain finance'!$J22:$BQ22)</f>
        <v>0</v>
      </c>
      <c r="L17" s="10">
        <f ca="1" xml:space="preserve"> SUMIF( Time!$J297:$BQ297, Time!L$28, 'Supply Chain finance'!$J22:$BQ22)</f>
        <v>0</v>
      </c>
      <c r="M17" s="10">
        <f ca="1" xml:space="preserve"> SUMIF( Time!$J297:$BQ297, Time!M$28, 'Supply Chain finance'!$J22:$BQ22)</f>
        <v>0</v>
      </c>
      <c r="N17" s="10">
        <f ca="1" xml:space="preserve"> SUMIF( Time!$J297:$BQ297, Time!N$28, 'Supply Chain finance'!$J22:$BQ22)</f>
        <v>0</v>
      </c>
    </row>
    <row r="18" spans="5:14">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0</v>
      </c>
      <c r="I18" s="17">
        <f xml:space="preserve"> 'Supply Chain finance'!I$29</f>
        <v>0</v>
      </c>
      <c r="J18" s="10">
        <f ca="1" xml:space="preserve"> SUMIF( Time!$J297:$BQ297, Time!J$28, 'Supply Chain finance'!$J29:$BQ29)</f>
        <v>0</v>
      </c>
      <c r="K18" s="10">
        <f ca="1" xml:space="preserve"> SUMIF( Time!$J297:$BQ297, Time!K$28, 'Supply Chain finance'!$J29:$BQ29)</f>
        <v>0</v>
      </c>
      <c r="L18" s="10">
        <f ca="1" xml:space="preserve"> SUMIF( Time!$J297:$BQ297, Time!L$28, 'Supply Chain finance'!$J29:$BQ29)</f>
        <v>0</v>
      </c>
      <c r="M18" s="10">
        <f ca="1" xml:space="preserve"> SUMIF( Time!$J297:$BQ297, Time!M$28, 'Supply Chain finance'!$J29:$BQ29)</f>
        <v>0</v>
      </c>
      <c r="N18" s="10">
        <f ca="1" xml:space="preserve"> SUMIF( Time!$J297:$BQ297, Time!N$28, 'Supply Chain finance'!$J29:$BQ29)</f>
        <v>0</v>
      </c>
    </row>
    <row r="19" spans="5:14">
      <c r="E19" s="17" t="str">
        <f xml:space="preserve"> 'Invoice finance'!E$21</f>
        <v>Invoice finance drawdown</v>
      </c>
      <c r="F19" s="17">
        <f xml:space="preserve"> 'Invoice finance'!F$21</f>
        <v>0</v>
      </c>
      <c r="G19" s="17" t="str">
        <f xml:space="preserve"> 'Invoice finance'!G$21</f>
        <v>GBP</v>
      </c>
      <c r="H19" s="44">
        <f ca="1" xml:space="preserve"> 'Invoice finance'!H$21</f>
        <v>0</v>
      </c>
      <c r="I19" s="17">
        <f xml:space="preserve"> 'Invoice finance'!I$21</f>
        <v>0</v>
      </c>
      <c r="J19" s="10">
        <f ca="1" xml:space="preserve"> SUMIF( Time!$J297:$BQ297, Time!J$28, 'Invoice finance'!$J21:$BQ21)</f>
        <v>0</v>
      </c>
      <c r="K19" s="10">
        <f ca="1" xml:space="preserve"> SUMIF( Time!$J297:$BQ297, Time!K$28, 'Invoice finance'!$J21:$BQ21)</f>
        <v>0</v>
      </c>
      <c r="L19" s="10">
        <f ca="1" xml:space="preserve"> SUMIF( Time!$J297:$BQ297, Time!L$28, 'Invoice finance'!$J21:$BQ21)</f>
        <v>0</v>
      </c>
      <c r="M19" s="10">
        <f ca="1" xml:space="preserve"> SUMIF( Time!$J297:$BQ297, Time!M$28, 'Invoice finance'!$J21:$BQ21)</f>
        <v>0</v>
      </c>
      <c r="N19" s="10">
        <f ca="1" xml:space="preserve"> SUMIF( Time!$J297:$BQ297, Time!N$28, 'Invoice finance'!$J21:$BQ21)</f>
        <v>0</v>
      </c>
    </row>
    <row r="20" spans="5:14">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0</v>
      </c>
      <c r="I20" s="17">
        <f xml:space="preserve"> 'Invoice finance'!I$28</f>
        <v>0</v>
      </c>
      <c r="J20" s="10">
        <f ca="1" xml:space="preserve"> SUMIF( Time!$J297:$BQ297, Time!J$28, 'Invoice finance'!$J28:$BQ28)</f>
        <v>0</v>
      </c>
      <c r="K20" s="10">
        <f ca="1" xml:space="preserve"> SUMIF( Time!$J297:$BQ297, Time!K$28, 'Invoice finance'!$J28:$BQ28)</f>
        <v>0</v>
      </c>
      <c r="L20" s="10">
        <f ca="1" xml:space="preserve"> SUMIF( Time!$J297:$BQ297, Time!L$28, 'Invoice finance'!$J28:$BQ28)</f>
        <v>0</v>
      </c>
      <c r="M20" s="10">
        <f ca="1" xml:space="preserve"> SUMIF( Time!$J297:$BQ297, Time!M$28, 'Invoice finance'!$J28:$BQ28)</f>
        <v>0</v>
      </c>
      <c r="N20" s="10">
        <f ca="1" xml:space="preserve"> SUMIF( Time!$J297:$BQ297, Time!N$28, 'Invoice finance'!$J28:$BQ28)</f>
        <v>0</v>
      </c>
    </row>
    <row r="21" spans="5:14">
      <c r="E21" s="17" t="str">
        <f xml:space="preserve"> 'Asset Finance'!E$22</f>
        <v>Asset Finance drawdown</v>
      </c>
      <c r="F21" s="17">
        <f xml:space="preserve"> 'Asset Finance'!F$22</f>
        <v>0</v>
      </c>
      <c r="G21" s="17" t="str">
        <f xml:space="preserve"> 'Asset Finance'!G$22</f>
        <v>GBP</v>
      </c>
      <c r="H21" s="44">
        <f ca="1" xml:space="preserve"> 'Asset Finance'!H$22</f>
        <v>0</v>
      </c>
      <c r="I21" s="17">
        <f xml:space="preserve"> 'Asset Finance'!I$22</f>
        <v>0</v>
      </c>
      <c r="J21" s="10">
        <f ca="1" xml:space="preserve"> SUMIF( Time!$J297:$BQ297, Time!J$28, 'Asset Finance'!$J22:$BQ22)</f>
        <v>0</v>
      </c>
      <c r="K21" s="10">
        <f ca="1" xml:space="preserve"> SUMIF( Time!$J297:$BQ297, Time!K$28, 'Asset Finance'!$J22:$BQ22)</f>
        <v>0</v>
      </c>
      <c r="L21" s="10">
        <f ca="1" xml:space="preserve"> SUMIF( Time!$J297:$BQ297, Time!L$28, 'Asset Finance'!$J22:$BQ22)</f>
        <v>0</v>
      </c>
      <c r="M21" s="10">
        <f ca="1" xml:space="preserve"> SUMIF( Time!$J297:$BQ297, Time!M$28, 'Asset Finance'!$J22:$BQ22)</f>
        <v>0</v>
      </c>
      <c r="N21" s="10">
        <f ca="1" xml:space="preserve"> SUMIF( Time!$J297:$BQ297, Time!N$28, 'Asset Finance'!$J22:$BQ22)</f>
        <v>0</v>
      </c>
    </row>
    <row r="22" spans="5:14">
      <c r="E22" s="17" t="str">
        <f xml:space="preserve"> 'Asset Finance'!E$29</f>
        <v xml:space="preserve">Asset Finance principal repayment </v>
      </c>
      <c r="F22" s="17">
        <f xml:space="preserve"> 'Asset Finance'!F$29</f>
        <v>0</v>
      </c>
      <c r="G22" s="17" t="str">
        <f xml:space="preserve"> 'Asset Finance'!G$29</f>
        <v>GBP</v>
      </c>
      <c r="H22" s="44">
        <f ca="1" xml:space="preserve"> 'Asset Finance'!H$29</f>
        <v>0</v>
      </c>
      <c r="I22" s="17">
        <f xml:space="preserve"> 'Asset Finance'!I$29</f>
        <v>0</v>
      </c>
      <c r="J22" s="10">
        <f ca="1" xml:space="preserve"> SUMIF( Time!$J297:$BQ297, Time!J$28, 'Asset Finance'!$J29:$BQ29)</f>
        <v>0</v>
      </c>
      <c r="K22" s="10">
        <f ca="1" xml:space="preserve"> SUMIF( Time!$J297:$BQ297, Time!K$28, 'Asset Finance'!$J29:$BQ29)</f>
        <v>0</v>
      </c>
      <c r="L22" s="10">
        <f ca="1" xml:space="preserve"> SUMIF( Time!$J297:$BQ297, Time!L$28, 'Asset Finance'!$J29:$BQ29)</f>
        <v>0</v>
      </c>
      <c r="M22" s="10">
        <f ca="1" xml:space="preserve"> SUMIF( Time!$J297:$BQ297, Time!M$28, 'Asset Finance'!$J29:$BQ29)</f>
        <v>0</v>
      </c>
      <c r="N22" s="10">
        <f ca="1" xml:space="preserve"> SUMIF( Time!$J297:$BQ297, Time!N$28, 'Asset Finance'!$J29:$BQ29)</f>
        <v>0</v>
      </c>
    </row>
    <row r="23" spans="5:14">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0</v>
      </c>
      <c r="I23" s="17">
        <f xml:space="preserve"> 'Supply Chain finance'!I$48</f>
        <v>0</v>
      </c>
      <c r="J23" s="10">
        <f ca="1" xml:space="preserve"> SUMIF( Time!$J297:$BQ297, Time!J$28, 'Supply Chain finance'!$J48:$BQ48)</f>
        <v>0</v>
      </c>
      <c r="K23" s="10">
        <f ca="1" xml:space="preserve"> SUMIF( Time!$J297:$BQ297, Time!K$28, 'Supply Chain finance'!$J48:$BQ48)</f>
        <v>0</v>
      </c>
      <c r="L23" s="10">
        <f ca="1" xml:space="preserve"> SUMIF( Time!$J297:$BQ297, Time!L$28, 'Supply Chain finance'!$J48:$BQ48)</f>
        <v>0</v>
      </c>
      <c r="M23" s="10">
        <f ca="1" xml:space="preserve"> SUMIF( Time!$J297:$BQ297, Time!M$28, 'Supply Chain finance'!$J48:$BQ48)</f>
        <v>0</v>
      </c>
      <c r="N23" s="10">
        <f ca="1" xml:space="preserve"> SUMIF( Time!$J297:$BQ297, Time!N$28, 'Supply Chain finance'!$J48:$BQ48)</f>
        <v>0</v>
      </c>
    </row>
    <row r="24" spans="5:14">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0</v>
      </c>
      <c r="I24" s="17">
        <f xml:space="preserve"> 'Invoice finance'!I$47</f>
        <v>0</v>
      </c>
      <c r="J24" s="10">
        <f ca="1" xml:space="preserve"> SUMIF( Time!$J297:$BQ297, Time!J$28, 'Invoice finance'!$J47:$BQ47)</f>
        <v>0</v>
      </c>
      <c r="K24" s="10">
        <f ca="1" xml:space="preserve"> SUMIF( Time!$J297:$BQ297, Time!K$28, 'Invoice finance'!$J47:$BQ47)</f>
        <v>0</v>
      </c>
      <c r="L24" s="10">
        <f ca="1" xml:space="preserve"> SUMIF( Time!$J297:$BQ297, Time!L$28, 'Invoice finance'!$J47:$BQ47)</f>
        <v>0</v>
      </c>
      <c r="M24" s="10">
        <f ca="1" xml:space="preserve"> SUMIF( Time!$J297:$BQ297, Time!M$28, 'Invoice finance'!$J47:$BQ47)</f>
        <v>0</v>
      </c>
      <c r="N24" s="10">
        <f ca="1" xml:space="preserve"> SUMIF( Time!$J297:$BQ297, Time!N$28, 'Invoice finance'!$J47:$BQ47)</f>
        <v>0</v>
      </c>
    </row>
    <row r="25" spans="5:14">
      <c r="E25" s="17" t="str">
        <f xml:space="preserve"> 'Asset Finance'!E$48</f>
        <v xml:space="preserve">Asset Finance interest paid </v>
      </c>
      <c r="F25" s="17">
        <f xml:space="preserve"> 'Asset Finance'!F$48</f>
        <v>0</v>
      </c>
      <c r="G25" s="17" t="str">
        <f xml:space="preserve"> 'Asset Finance'!G$48</f>
        <v>GBP</v>
      </c>
      <c r="H25" s="44">
        <f ca="1" xml:space="preserve"> 'Asset Finance'!H$48</f>
        <v>0</v>
      </c>
      <c r="I25" s="17">
        <f xml:space="preserve"> 'Asset Finance'!I$48</f>
        <v>0</v>
      </c>
      <c r="J25" s="10">
        <f ca="1" xml:space="preserve"> SUMIF( Time!$J297:$BQ297, Time!J$28, 'Asset Finance'!$J48:$BQ48)</f>
        <v>0</v>
      </c>
      <c r="K25" s="10">
        <f ca="1" xml:space="preserve"> SUMIF( Time!$J297:$BQ297, Time!K$28, 'Asset Finance'!$J48:$BQ48)</f>
        <v>0</v>
      </c>
      <c r="L25" s="10">
        <f ca="1" xml:space="preserve"> SUMIF( Time!$J297:$BQ297, Time!L$28, 'Asset Finance'!$J48:$BQ48)</f>
        <v>0</v>
      </c>
      <c r="M25" s="10">
        <f ca="1" xml:space="preserve"> SUMIF( Time!$J297:$BQ297, Time!M$28, 'Asset Finance'!$J48:$BQ48)</f>
        <v>0</v>
      </c>
      <c r="N25" s="10">
        <f ca="1" xml:space="preserve"> SUMIF( Time!$J297:$BQ297, Time!N$28, 'Asset Finance'!$J48:$BQ48)</f>
        <v>0</v>
      </c>
    </row>
    <row r="26" spans="5:14">
      <c r="E26" s="12" t="s">
        <v>182</v>
      </c>
      <c r="F26" s="30"/>
      <c r="G26" s="12" t="s">
        <v>257</v>
      </c>
      <c r="H26" s="54">
        <f ca="1" xml:space="preserve"> SUM( J26:BQ26 )</f>
        <v>419383336.21187413</v>
      </c>
      <c r="I26" s="30"/>
      <c r="J26" s="12">
        <f ca="1" xml:space="preserve"> SUMIF( Time!$J297:$BQ297, Time!J$28, Cashflow!$J26:$BQ26)</f>
        <v>2472193.3165630135</v>
      </c>
      <c r="K26" s="12">
        <f ca="1" xml:space="preserve"> SUMIF( Time!$J297:$BQ297, Time!K$28, Cashflow!$J26:$BQ26)</f>
        <v>17863403.757426322</v>
      </c>
      <c r="L26" s="12">
        <f ca="1" xml:space="preserve"> SUMIF( Time!$J297:$BQ297, Time!L$28, Cashflow!$J26:$BQ26)</f>
        <v>43926919.962376095</v>
      </c>
      <c r="M26" s="12">
        <f ca="1" xml:space="preserve"> SUMIF( Time!$J297:$BQ297, Time!M$28, Cashflow!$J26:$BQ26)</f>
        <v>112103695.29917681</v>
      </c>
      <c r="N26" s="12">
        <f ca="1" xml:space="preserve"> SUMIF( Time!$J297:$BQ297, Time!N$28, Cashflow!$J26:$BQ26)</f>
        <v>243017123.87633184</v>
      </c>
    </row>
    <row r="28" spans="5:14">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Time!$J297:$BQ297, Time!J$28, InpS!$J11:$BQ11)</f>
        <v>0</v>
      </c>
      <c r="K28" s="10">
        <f xml:space="preserve"> SUMIF( Time!$J297:$BQ297, Time!K$28, InpS!$J11:$BQ11)</f>
        <v>0</v>
      </c>
      <c r="L28" s="10">
        <f xml:space="preserve"> SUMIF( Time!$J297:$BQ297, Time!L$28, InpS!$J11:$BQ11)</f>
        <v>0</v>
      </c>
      <c r="M28" s="10">
        <f xml:space="preserve"> SUMIF( Time!$J297:$BQ297, Time!M$28, InpS!$J11:$BQ11)</f>
        <v>0</v>
      </c>
      <c r="N28" s="10">
        <f xml:space="preserve"> SUMIF( Time!$J297:$BQ297, Time!N$28, InpS!$J11:$BQ11)</f>
        <v>0</v>
      </c>
    </row>
    <row r="29" spans="5:14">
      <c r="E29" s="12" t="s">
        <v>114</v>
      </c>
      <c r="F29" s="30"/>
      <c r="G29" s="12" t="s">
        <v>257</v>
      </c>
      <c r="H29" s="54">
        <f ca="1" xml:space="preserve"> SUM( J29:BQ29 )</f>
        <v>419383336.21187413</v>
      </c>
      <c r="I29" s="30"/>
      <c r="J29" s="12">
        <f ca="1" xml:space="preserve"> SUMIF( Time!$J297:$BQ297, Time!J$28, Cashflow!$J29:$BQ29)</f>
        <v>2472193.3165630135</v>
      </c>
      <c r="K29" s="12">
        <f ca="1" xml:space="preserve"> SUMIF( Time!$J297:$BQ297, Time!K$28, Cashflow!$J29:$BQ29)</f>
        <v>17863403.757426322</v>
      </c>
      <c r="L29" s="12">
        <f ca="1" xml:space="preserve"> SUMIF( Time!$J297:$BQ297, Time!L$28, Cashflow!$J29:$BQ29)</f>
        <v>43926919.962376095</v>
      </c>
      <c r="M29" s="12">
        <f ca="1" xml:space="preserve"> SUMIF( Time!$J297:$BQ297, Time!M$28, Cashflow!$J29:$BQ29)</f>
        <v>112103695.29917681</v>
      </c>
      <c r="N29" s="12">
        <f ca="1" xml:space="preserve"> SUMIF( Time!$J297:$BQ297, Time!N$28, Cashflow!$J29:$BQ29)</f>
        <v>243017123.87633184</v>
      </c>
    </row>
  </sheetData>
  <conditionalFormatting sqref="F2:F3">
    <cfRule type="cellIs" dxfId="133" priority="1" stopIfTrue="1" operator="notEqual">
      <formula>0</formula>
    </cfRule>
    <cfRule type="cellIs" dxfId="132" priority="2" stopIfTrue="1" operator="equal">
      <formula>""</formula>
    </cfRule>
  </conditionalFormatting>
  <conditionalFormatting sqref="J3:P3">
    <cfRule type="cellIs" dxfId="131" priority="3" operator="equal">
      <formula>"PPA ext."</formula>
    </cfRule>
    <cfRule type="cellIs" dxfId="130" priority="4" operator="equal">
      <formula>"Delay"</formula>
    </cfRule>
    <cfRule type="cellIs" dxfId="129" priority="5" operator="equal">
      <formula>"Fin Close"</formula>
    </cfRule>
    <cfRule type="cellIs" dxfId="128" priority="6" stopIfTrue="1" operator="equal">
      <formula>"Construction"</formula>
    </cfRule>
    <cfRule type="cellIs" dxfId="12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4F81BD"/>
    <outlinePr summaryBelow="0" summaryRight="0"/>
  </sheetPr>
  <dimension ref="A1:P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Inventory Report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4"/>
      <c r="D3" s="78"/>
      <c r="E3" s="41" t="s">
        <v>207</v>
      </c>
      <c r="F3" s="52"/>
      <c r="G3" s="56" t="s">
        <v>98</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4"/>
      <c r="D4" s="78"/>
      <c r="E4" s="22" t="s">
        <v>333</v>
      </c>
      <c r="F4"/>
      <c r="G4"/>
      <c r="H4" s="50"/>
      <c r="I4" s="50"/>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Time!$J297:$BQ297, Time!J$28, Customers!$J14:$BQ14)</f>
        <v>38000</v>
      </c>
      <c r="K8" s="10">
        <f xml:space="preserve"> SUMIF( Time!$J297:$BQ297, Time!K$28, Customers!$J14:$BQ14)</f>
        <v>89085.768725528833</v>
      </c>
      <c r="L8" s="10">
        <f xml:space="preserve"> SUMIF( Time!$J297:$BQ297, Time!L$28, Customers!$J14:$BQ14)</f>
        <v>178171.53745105775</v>
      </c>
      <c r="M8" s="10">
        <f xml:space="preserve"> SUMIF( Time!$J297:$BQ297, Time!M$28, Customers!$J14:$BQ14)</f>
        <v>356343.07490211574</v>
      </c>
      <c r="N8" s="10">
        <f xml:space="preserve"> SUMIF( Time!$J297:$BQ297, Time!N$28, Customers!$J14:$BQ14)</f>
        <v>712686.14980423183</v>
      </c>
    </row>
    <row r="9" spans="1:16">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Time!$J297:$BQ297, Time!J$28, Customers!$J35:$BQ35)</f>
        <v>0</v>
      </c>
      <c r="K9" s="10">
        <f ca="1" xml:space="preserve"> SUMIF( Time!$J297:$BQ297, Time!K$28, Customers!$J35:$BQ35)</f>
        <v>0</v>
      </c>
      <c r="L9" s="10">
        <f ca="1" xml:space="preserve"> SUMIF( Time!$J297:$BQ297, Time!L$28, Customers!$J35:$BQ35)</f>
        <v>34200</v>
      </c>
      <c r="M9" s="10">
        <f ca="1" xml:space="preserve"> SUMIF( Time!$J297:$BQ297, Time!M$28, Customers!$J35:$BQ35)</f>
        <v>80177.191852975957</v>
      </c>
      <c r="N9" s="10">
        <f ca="1" xml:space="preserve"> SUMIF( Time!$J297:$BQ297, Time!N$28, Customers!$J35:$BQ35)</f>
        <v>160354.38370595197</v>
      </c>
    </row>
    <row r="10" spans="1:16">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Time!$J302:$BQ302, Time!J$28, Customers!$J24:$BQ24)</f>
        <v>13000</v>
      </c>
      <c r="K10" s="10">
        <f ca="1" xml:space="preserve"> SUMIF( Time!$J302:$BQ302, Time!K$28, Customers!$J24:$BQ24)</f>
        <v>57085.76872552884</v>
      </c>
      <c r="L10" s="10">
        <f ca="1" xml:space="preserve"> SUMIF( Time!$J302:$BQ302, Time!L$28, Customers!$J24:$BQ24)</f>
        <v>144457.30617658657</v>
      </c>
      <c r="M10" s="10">
        <f ca="1" xml:space="preserve"> SUMIF( Time!$J302:$BQ302, Time!M$28, Customers!$J24:$BQ24)</f>
        <v>285977.57293167821</v>
      </c>
      <c r="N10" s="10">
        <f ca="1" xml:space="preserve"> SUMIF( Time!$J302:$BQ302, Time!N$28, Customers!$J24:$BQ24)</f>
        <v>579018.10644186207</v>
      </c>
    </row>
    <row r="11" spans="1:16">
      <c r="E11" s="17" t="str">
        <f xml:space="preserve"> Inventory!E$33</f>
        <v>Units ordered</v>
      </c>
      <c r="F11" s="17">
        <f xml:space="preserve"> Inventory!F$33</f>
        <v>0</v>
      </c>
      <c r="G11" s="17" t="str">
        <f xml:space="preserve"> Inventory!G$33</f>
        <v>Units</v>
      </c>
      <c r="H11" s="44">
        <f ca="1" xml:space="preserve"> Inventory!H$33</f>
        <v>1650000</v>
      </c>
      <c r="I11" s="17">
        <f xml:space="preserve"> Inventory!I$33</f>
        <v>0</v>
      </c>
      <c r="J11" s="10">
        <f xml:space="preserve"> SUMIF( Time!$J297:$BQ297, Time!J$28, Inventory!$J33:$BQ33)</f>
        <v>50000</v>
      </c>
      <c r="K11" s="10">
        <f ca="1" xml:space="preserve"> SUMIF( Time!$J297:$BQ297, Time!K$28, Inventory!$J33:$BQ33)</f>
        <v>75000</v>
      </c>
      <c r="L11" s="10">
        <f ca="1" xml:space="preserve"> SUMIF( Time!$J297:$BQ297, Time!L$28, Inventory!$J33:$BQ33)</f>
        <v>215000</v>
      </c>
      <c r="M11" s="10">
        <f ca="1" xml:space="preserve"> SUMIF( Time!$J297:$BQ297, Time!M$28, Inventory!$J33:$BQ33)</f>
        <v>435000</v>
      </c>
      <c r="N11" s="10">
        <f ca="1" xml:space="preserve"> SUMIF( Time!$J297:$BQ297, Time!N$28, Inventory!$J33:$BQ33)</f>
        <v>875000</v>
      </c>
    </row>
    <row r="12" spans="1:16">
      <c r="E12" s="17" t="str">
        <f xml:space="preserve"> Inventory!E$50</f>
        <v>Units on order</v>
      </c>
      <c r="F12" s="17">
        <f xml:space="preserve"> Inventory!F$50</f>
        <v>0</v>
      </c>
      <c r="G12" s="17" t="str">
        <f xml:space="preserve"> Inventory!G$50</f>
        <v>Units</v>
      </c>
      <c r="H12" s="44">
        <f xml:space="preserve"> Inventory!H$50</f>
        <v>0</v>
      </c>
      <c r="I12" s="17">
        <f xml:space="preserve"> Inventory!I$50</f>
        <v>0</v>
      </c>
      <c r="J12" s="10">
        <f ca="1" xml:space="preserve"> SUMIF( Time!$J302:$BQ302, Time!J$28, Inventory!$J50:$BQ50)</f>
        <v>15000</v>
      </c>
      <c r="K12" s="10">
        <f ca="1" xml:space="preserve"> SUMIF( Time!$J302:$BQ302, Time!K$28, Inventory!$J50:$BQ50)</f>
        <v>45000</v>
      </c>
      <c r="L12" s="10">
        <f ca="1" xml:space="preserve"> SUMIF( Time!$J302:$BQ302, Time!L$28, Inventory!$J50:$BQ50)</f>
        <v>125000</v>
      </c>
      <c r="M12" s="10">
        <f ca="1" xml:space="preserve"> SUMIF( Time!$J302:$BQ302, Time!M$28, Inventory!$J50:$BQ50)</f>
        <v>250000</v>
      </c>
      <c r="N12" s="10">
        <f ca="1" xml:space="preserve"> SUMIF( Time!$J302:$BQ302, Time!N$28, Inventory!$J50:$BQ50)</f>
        <v>510000</v>
      </c>
    </row>
    <row r="13" spans="1:16">
      <c r="E13" s="17" t="str">
        <f xml:space="preserve"> Inventory!E$41</f>
        <v>Units delivered</v>
      </c>
      <c r="F13" s="17">
        <f xml:space="preserve"> Inventory!F$41</f>
        <v>0</v>
      </c>
      <c r="G13" s="17" t="str">
        <f xml:space="preserve"> Inventory!G$41</f>
        <v>Units</v>
      </c>
      <c r="H13" s="44">
        <f ca="1" xml:space="preserve"> Inventory!H$41</f>
        <v>1140000</v>
      </c>
      <c r="I13" s="17">
        <f xml:space="preserve"> Inventory!I$41</f>
        <v>0</v>
      </c>
      <c r="J13" s="10">
        <f ca="1" xml:space="preserve"> SUMIF( Time!$J297:$BQ297, Time!J$28, Inventory!$J41:$BQ41)</f>
        <v>35000</v>
      </c>
      <c r="K13" s="10">
        <f ca="1" xml:space="preserve"> SUMIF( Time!$J297:$BQ297, Time!K$28, Inventory!$J41:$BQ41)</f>
        <v>45000</v>
      </c>
      <c r="L13" s="10">
        <f ca="1" xml:space="preserve"> SUMIF( Time!$J297:$BQ297, Time!L$28, Inventory!$J41:$BQ41)</f>
        <v>135000</v>
      </c>
      <c r="M13" s="10">
        <f ca="1" xml:space="preserve"> SUMIF( Time!$J297:$BQ297, Time!M$28, Inventory!$J41:$BQ41)</f>
        <v>310000</v>
      </c>
      <c r="N13" s="10">
        <f ca="1" xml:space="preserve"> SUMIF( Time!$J297:$BQ297, Time!N$28, Inventory!$J41:$BQ41)</f>
        <v>615000</v>
      </c>
    </row>
    <row r="14" spans="1:16">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Time!$J297:$BQ297, Time!J$28, Inventory!$J18:$BQ18)</f>
        <v>0</v>
      </c>
      <c r="K14" s="10">
        <f ca="1" xml:space="preserve"> SUMIF( Time!$J297:$BQ297, Time!K$28, Inventory!$J18:$BQ18)</f>
        <v>0</v>
      </c>
      <c r="L14" s="10">
        <f ca="1" xml:space="preserve"> SUMIF( Time!$J297:$BQ297, Time!L$28, Inventory!$J18:$BQ18)</f>
        <v>38000</v>
      </c>
      <c r="M14" s="10">
        <f ca="1" xml:space="preserve"> SUMIF( Time!$J297:$BQ297, Time!M$28, Inventory!$J18:$BQ18)</f>
        <v>89085.768725528833</v>
      </c>
      <c r="N14" s="10">
        <f ca="1" xml:space="preserve"> SUMIF( Time!$J297:$BQ297, Time!N$28, Inventory!$J18:$BQ18)</f>
        <v>212371.53745105775</v>
      </c>
    </row>
    <row r="15" spans="1:16">
      <c r="E15" s="17" t="str">
        <f xml:space="preserve"> Inventory!E$65</f>
        <v>Units in stock</v>
      </c>
      <c r="F15" s="17">
        <f xml:space="preserve"> Inventory!F$65</f>
        <v>0</v>
      </c>
      <c r="G15" s="17" t="str">
        <f xml:space="preserve"> Inventory!G$65</f>
        <v>Units</v>
      </c>
      <c r="H15" s="44">
        <f xml:space="preserve"> Inventory!H$65</f>
        <v>0</v>
      </c>
      <c r="I15" s="17">
        <f xml:space="preserve"> Inventory!I$65</f>
        <v>0</v>
      </c>
      <c r="J15" s="10">
        <f ca="1" xml:space="preserve"> SUMIF( Time!$J302:$BQ302, Time!J$28, Inventory!$J65:$BQ65)</f>
        <v>10000</v>
      </c>
      <c r="K15" s="10">
        <f ca="1" xml:space="preserve"> SUMIF( Time!$J302:$BQ302, Time!K$28, Inventory!$J65:$BQ65)</f>
        <v>10000</v>
      </c>
      <c r="L15" s="10">
        <f ca="1" xml:space="preserve"> SUMIF( Time!$J302:$BQ302, Time!L$28, Inventory!$J65:$BQ65)</f>
        <v>20000</v>
      </c>
      <c r="M15" s="10">
        <f ca="1" xml:space="preserve"> SUMIF( Time!$J302:$BQ302, Time!M$28, Inventory!$J65:$BQ65)</f>
        <v>35000</v>
      </c>
      <c r="N15" s="10">
        <f ca="1" xml:space="preserve"> SUMIF( Time!$J302:$BQ302, Time!N$28, Inventory!$J65:$BQ65)</f>
        <v>70000</v>
      </c>
    </row>
    <row r="16" spans="1:16">
      <c r="E16" s="17" t="str">
        <f xml:space="preserve"> Inventory!E$54</f>
        <v>Units deployed</v>
      </c>
      <c r="F16" s="17">
        <f xml:space="preserve"> Inventory!F$54</f>
        <v>0</v>
      </c>
      <c r="G16" s="17" t="str">
        <f xml:space="preserve"> Inventory!G$54</f>
        <v>Units</v>
      </c>
      <c r="H16" s="44">
        <f ca="1" xml:space="preserve"> Inventory!H$54</f>
        <v>1070000</v>
      </c>
      <c r="I16" s="17">
        <f xml:space="preserve"> Inventory!I$54</f>
        <v>0</v>
      </c>
      <c r="J16" s="10">
        <f ca="1" xml:space="preserve"> SUMIF( Time!$J297:$BQ297, Time!J$28, Inventory!$J54:$BQ54)</f>
        <v>25000</v>
      </c>
      <c r="K16" s="10">
        <f ca="1" xml:space="preserve"> SUMIF( Time!$J297:$BQ297, Time!K$28, Inventory!$J54:$BQ54)</f>
        <v>45000</v>
      </c>
      <c r="L16" s="10">
        <f ca="1" xml:space="preserve"> SUMIF( Time!$J297:$BQ297, Time!L$28, Inventory!$J54:$BQ54)</f>
        <v>125000</v>
      </c>
      <c r="M16" s="10">
        <f ca="1" xml:space="preserve"> SUMIF( Time!$J297:$BQ297, Time!M$28, Inventory!$J54:$BQ54)</f>
        <v>295000</v>
      </c>
      <c r="N16" s="10">
        <f ca="1" xml:space="preserve"> SUMIF( Time!$J297:$BQ297, Time!N$28, Inventory!$J54:$BQ54)</f>
        <v>580000</v>
      </c>
    </row>
    <row r="17" spans="5:14">
      <c r="E17" s="17" t="str">
        <f xml:space="preserve"> Inventory!E$73</f>
        <v>Units in use</v>
      </c>
      <c r="F17" s="17">
        <f xml:space="preserve"> Inventory!F$73</f>
        <v>0</v>
      </c>
      <c r="G17" s="17" t="str">
        <f xml:space="preserve"> Inventory!G$73</f>
        <v>Units</v>
      </c>
      <c r="H17" s="44">
        <f xml:space="preserve"> Inventory!H$73</f>
        <v>0</v>
      </c>
      <c r="I17" s="17">
        <f xml:space="preserve"> Inventory!I$73</f>
        <v>0</v>
      </c>
      <c r="J17" s="10">
        <f ca="1" xml:space="preserve"> SUMIF( Time!$J302:$BQ302, Time!J$28, Inventory!$J73:$BQ73)</f>
        <v>25000</v>
      </c>
      <c r="K17" s="10">
        <f ca="1" xml:space="preserve"> SUMIF( Time!$J302:$BQ302, Time!K$28, Inventory!$J73:$BQ73)</f>
        <v>70000</v>
      </c>
      <c r="L17" s="10">
        <f ca="1" xml:space="preserve"> SUMIF( Time!$J302:$BQ302, Time!L$28, Inventory!$J73:$BQ73)</f>
        <v>157000</v>
      </c>
      <c r="M17" s="10">
        <f ca="1" xml:space="preserve"> SUMIF( Time!$J302:$BQ302, Time!M$28, Inventory!$J73:$BQ73)</f>
        <v>362914.23127447121</v>
      </c>
      <c r="N17" s="10">
        <f ca="1" xml:space="preserve"> SUMIF( Time!$J302:$BQ302, Time!N$28, Inventory!$J73:$BQ73)</f>
        <v>730542.69382341357</v>
      </c>
    </row>
    <row r="18" spans="5:14">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Time!$J297:$BQ297, Time!J$28, Inventory!$J77:$BQ77)</f>
        <v>0</v>
      </c>
      <c r="K18" s="10">
        <f ca="1" xml:space="preserve"> SUMIF( Time!$J297:$BQ297, Time!K$28, Inventory!$J77:$BQ77)</f>
        <v>0</v>
      </c>
      <c r="L18" s="10">
        <f ca="1" xml:space="preserve"> SUMIF( Time!$J297:$BQ297, Time!L$28, Inventory!$J77:$BQ77)</f>
        <v>38000</v>
      </c>
      <c r="M18" s="10">
        <f ca="1" xml:space="preserve"> SUMIF( Time!$J297:$BQ297, Time!M$28, Inventory!$J77:$BQ77)</f>
        <v>89085.768725528833</v>
      </c>
      <c r="N18" s="10">
        <f ca="1" xml:space="preserve"> SUMIF( Time!$J297:$BQ297, Time!N$28, Inventory!$J77:$BQ77)</f>
        <v>212371.53745105775</v>
      </c>
    </row>
    <row r="19" spans="5:14">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Time!$J302:$BQ302, Time!J$28, Inventory!$J85:$BQ85)</f>
        <v>0</v>
      </c>
      <c r="K19" s="10">
        <f ca="1" xml:space="preserve"> SUMIF( Time!$J302:$BQ302, Time!K$28, Inventory!$J85:$BQ85)</f>
        <v>0</v>
      </c>
      <c r="L19" s="10">
        <f ca="1" xml:space="preserve"> SUMIF( Time!$J302:$BQ302, Time!L$28, Inventory!$J85:$BQ85)</f>
        <v>38000</v>
      </c>
      <c r="M19" s="10">
        <f ca="1" xml:space="preserve"> SUMIF( Time!$J302:$BQ302, Time!M$28, Inventory!$J85:$BQ85)</f>
        <v>127085.76872552883</v>
      </c>
      <c r="N19" s="10">
        <f ca="1" xml:space="preserve"> SUMIF( Time!$J302:$BQ302, Time!N$28, Inventory!$J85:$BQ85)</f>
        <v>339457.30617658654</v>
      </c>
    </row>
  </sheetData>
  <conditionalFormatting sqref="F2:F3">
    <cfRule type="cellIs" dxfId="126" priority="1" stopIfTrue="1" operator="notEqual">
      <formula>0</formula>
    </cfRule>
    <cfRule type="cellIs" dxfId="125" priority="2" stopIfTrue="1" operator="equal">
      <formula>""</formula>
    </cfRule>
  </conditionalFormatting>
  <conditionalFormatting sqref="J3:P3">
    <cfRule type="cellIs" dxfId="124" priority="3" operator="equal">
      <formula>"PPA ext."</formula>
    </cfRule>
    <cfRule type="cellIs" dxfId="123" priority="4" operator="equal">
      <formula>"Delay"</formula>
    </cfRule>
    <cfRule type="cellIs" dxfId="122" priority="5" operator="equal">
      <formula>"Fin Close"</formula>
    </cfRule>
    <cfRule type="cellIs" dxfId="121" priority="6" stopIfTrue="1" operator="equal">
      <formula>"Construction"</formula>
    </cfRule>
    <cfRule type="cellIs" dxfId="12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4F81BD"/>
    <outlinePr summaryBelow="0" summaryRight="0"/>
  </sheetPr>
  <dimension ref="A1:P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Metrics Report Ann</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f xml:space="preserve"> Time!J$55</f>
        <v>45412</v>
      </c>
      <c r="K2" s="6">
        <f xml:space="preserve"> Time!K$55</f>
        <v>45777</v>
      </c>
      <c r="L2" s="6">
        <f xml:space="preserve"> Time!L$55</f>
        <v>46142</v>
      </c>
      <c r="M2" s="6">
        <f xml:space="preserve"> Time!M$55</f>
        <v>46507</v>
      </c>
      <c r="N2" s="6">
        <f xml:space="preserve"> Time!N$55</f>
        <v>46873</v>
      </c>
      <c r="O2" s="6"/>
      <c r="P2" s="6"/>
    </row>
    <row r="3" spans="1:16" s="32" customFormat="1">
      <c r="A3" s="51"/>
      <c r="B3" s="51"/>
      <c r="C3" s="74"/>
      <c r="D3" s="78"/>
      <c r="E3" s="41" t="s">
        <v>207</v>
      </c>
      <c r="F3" s="52"/>
      <c r="G3" s="56" t="s">
        <v>98</v>
      </c>
      <c r="H3" s="50"/>
      <c r="I3" s="50"/>
      <c r="J3" s="7" t="str">
        <f xml:space="preserve"> Time!J$62</f>
        <v>Month12</v>
      </c>
      <c r="K3" s="7" t="str">
        <f xml:space="preserve"> Time!K$62</f>
        <v>Month24</v>
      </c>
      <c r="L3" s="7" t="str">
        <f xml:space="preserve"> Time!L$62</f>
        <v>Month36</v>
      </c>
      <c r="M3" s="7" t="str">
        <f xml:space="preserve"> Time!M$62</f>
        <v>Month48</v>
      </c>
      <c r="N3" s="7" t="str">
        <f xml:space="preserve"> Time!N$62</f>
        <v>Month60</v>
      </c>
      <c r="O3" s="7"/>
      <c r="P3" s="7"/>
    </row>
    <row r="4" spans="1:16" s="26" customFormat="1">
      <c r="A4" s="51"/>
      <c r="B4" s="51"/>
      <c r="C4" s="74"/>
      <c r="D4" s="78"/>
      <c r="E4" s="22" t="s">
        <v>333</v>
      </c>
      <c r="F4"/>
      <c r="G4"/>
      <c r="H4" s="50"/>
      <c r="I4" s="50"/>
      <c r="J4" s="26">
        <f xml:space="preserve"> Time!J$68</f>
        <v>12</v>
      </c>
      <c r="K4" s="26">
        <f xml:space="preserve"> Time!K$68</f>
        <v>24</v>
      </c>
      <c r="L4" s="26">
        <f xml:space="preserve"> Time!L$68</f>
        <v>36</v>
      </c>
      <c r="M4" s="26">
        <f xml:space="preserve"> Time!M$68</f>
        <v>48</v>
      </c>
      <c r="N4" s="26">
        <f xml:space="preserve"> Time!N$68</f>
        <v>60</v>
      </c>
    </row>
    <row r="5" spans="1:16" s="32" customFormat="1">
      <c r="A5" s="51"/>
      <c r="B5" s="51"/>
      <c r="C5" s="74"/>
      <c r="D5" s="78"/>
      <c r="E5" s="22" t="s">
        <v>311</v>
      </c>
      <c r="F5" s="23" t="s">
        <v>254</v>
      </c>
      <c r="G5" s="23" t="s">
        <v>229</v>
      </c>
      <c r="H5" s="23" t="s">
        <v>206</v>
      </c>
      <c r="I5" s="50"/>
      <c r="J5" s="15"/>
      <c r="K5" s="15"/>
      <c r="L5" s="15"/>
      <c r="M5" s="15"/>
      <c r="N5" s="15"/>
      <c r="O5" s="15"/>
      <c r="P5" s="15"/>
    </row>
    <row r="6" spans="1:16" s="45" customFormat="1">
      <c r="A6" s="23"/>
      <c r="B6" s="23"/>
      <c r="C6" s="49"/>
      <c r="D6" s="75"/>
      <c r="F6" s="23"/>
      <c r="G6" s="23"/>
      <c r="H6" s="23"/>
    </row>
    <row r="8" spans="1:16">
      <c r="E8" s="17" t="str">
        <f xml:space="preserve"> Metrics!E$10</f>
        <v>Cash Low</v>
      </c>
      <c r="F8" s="17">
        <f ca="1" xml:space="preserve"> Metrics!$F$10</f>
        <v>-492068.6425364801</v>
      </c>
      <c r="G8" s="17" t="str">
        <f xml:space="preserve"> Metrics!G$10</f>
        <v>GBP</v>
      </c>
      <c r="H8" s="44"/>
      <c r="I8" s="17"/>
      <c r="J8" s="10"/>
      <c r="K8" s="10"/>
      <c r="L8" s="10"/>
      <c r="M8" s="10"/>
      <c r="N8" s="10"/>
    </row>
  </sheetData>
  <conditionalFormatting sqref="F2:F3">
    <cfRule type="cellIs" dxfId="119" priority="1" stopIfTrue="1" operator="notEqual">
      <formula>0</formula>
    </cfRule>
    <cfRule type="cellIs" dxfId="118" priority="2" stopIfTrue="1" operator="equal">
      <formula>""</formula>
    </cfRule>
  </conditionalFormatting>
  <conditionalFormatting sqref="J3:P3">
    <cfRule type="cellIs" dxfId="117" priority="3" operator="equal">
      <formula>"PPA ext."</formula>
    </cfRule>
    <cfRule type="cellIs" dxfId="116" priority="4" operator="equal">
      <formula>"Delay"</formula>
    </cfRule>
    <cfRule type="cellIs" dxfId="115" priority="5" operator="equal">
      <formula>"Fin Close"</formula>
    </cfRule>
    <cfRule type="cellIs" dxfId="114" priority="6" stopIfTrue="1" operator="equal">
      <formula>"Construction"</formula>
    </cfRule>
    <cfRule type="cellIs" dxfId="11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4F81BD"/>
    <outlinePr summaryBelow="0" summaryRight="0"/>
  </sheetPr>
  <dimension ref="A1:BQ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53" width="12.44140625" bestFit="1" customWidth="1"/>
    <col min="54" max="69" width="13.21875" bestFit="1" customWidth="1"/>
    <col min="70" max="70" width="15.109375" hidden="1" customWidth="1"/>
    <col min="71" max="16384" width="15.109375" hidden="1"/>
  </cols>
  <sheetData>
    <row r="1" spans="1:69" s="72" customFormat="1" ht="25">
      <c r="A1" s="46" t="str">
        <f ca="1" xml:space="preserve"> RIGHT(CELL("filename", A1), LEN(CELL("filename", A1)) - SEARCH("]", CELL("filename", A1)))</f>
        <v>Income Statement</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Income!E$18</f>
        <v>Income</v>
      </c>
      <c r="F8" s="17">
        <f xml:space="preserve"> Income!F$18</f>
        <v>0</v>
      </c>
      <c r="G8" s="17" t="str">
        <f xml:space="preserve"> Income!G$18</f>
        <v>GBP</v>
      </c>
      <c r="H8" s="44">
        <f ca="1" xml:space="preserve"> Income!H$18</f>
        <v>411685641.93826306</v>
      </c>
      <c r="I8" s="17">
        <f xml:space="preserve"> Income!I$18</f>
        <v>0</v>
      </c>
      <c r="J8" s="10">
        <f ca="1" xml:space="preserve"> Income!J$18</f>
        <v>0</v>
      </c>
      <c r="K8" s="10">
        <f ca="1" xml:space="preserve"> Income!K$18</f>
        <v>0</v>
      </c>
      <c r="L8" s="10">
        <f ca="1" xml:space="preserve"> Income!L$18</f>
        <v>70000</v>
      </c>
      <c r="M8" s="10">
        <f ca="1" xml:space="preserve"> Income!M$18</f>
        <v>105000</v>
      </c>
      <c r="N8" s="10">
        <f ca="1" xml:space="preserve"> Income!N$18</f>
        <v>140000</v>
      </c>
      <c r="O8" s="10">
        <f ca="1" xml:space="preserve"> Income!O$18</f>
        <v>175000</v>
      </c>
      <c r="P8" s="10">
        <f ca="1" xml:space="preserve"> Income!P$18</f>
        <v>350000</v>
      </c>
      <c r="Q8" s="10">
        <f ca="1" xml:space="preserve"> Income!Q$18</f>
        <v>455000</v>
      </c>
      <c r="R8" s="10">
        <f ca="1" xml:space="preserve"> Income!R$18</f>
        <v>525000</v>
      </c>
      <c r="S8" s="10">
        <f ca="1" xml:space="preserve"> Income!S$18</f>
        <v>525000</v>
      </c>
      <c r="T8" s="10">
        <f ca="1" xml:space="preserve"> Income!T$18</f>
        <v>875000</v>
      </c>
      <c r="U8" s="10">
        <f ca="1" xml:space="preserve"> Income!U$18</f>
        <v>875000</v>
      </c>
      <c r="V8" s="10">
        <f ca="1" xml:space="preserve"> Income!V$18</f>
        <v>1225000</v>
      </c>
      <c r="W8" s="10">
        <f ca="1" xml:space="preserve"> Income!W$18</f>
        <v>1515406.0415128767</v>
      </c>
      <c r="X8" s="10">
        <f ca="1" xml:space="preserve"> Income!X$18</f>
        <v>1575000</v>
      </c>
      <c r="Y8" s="10">
        <f ca="1" xml:space="preserve"> Income!Y$18</f>
        <v>1919948.1450924932</v>
      </c>
      <c r="Z8" s="10">
        <f ca="1" xml:space="preserve"> Income!Z$18</f>
        <v>1925000</v>
      </c>
      <c r="AA8" s="10">
        <f ca="1" xml:space="preserve"> Income!AA$18</f>
        <v>1925000</v>
      </c>
      <c r="AB8" s="10">
        <f ca="1" xml:space="preserve"> Income!AB$18</f>
        <v>1925000</v>
      </c>
      <c r="AC8" s="10">
        <f ca="1" xml:space="preserve"> Income!AC$18</f>
        <v>1925000</v>
      </c>
      <c r="AD8" s="10">
        <f ca="1" xml:space="preserve"> Income!AD$18</f>
        <v>1925000</v>
      </c>
      <c r="AE8" s="10">
        <f ca="1" xml:space="preserve"> Income!AE$18</f>
        <v>2100000</v>
      </c>
      <c r="AF8" s="10">
        <f ca="1" xml:space="preserve"> Income!AF$18</f>
        <v>2275000</v>
      </c>
      <c r="AG8" s="10">
        <f ca="1" xml:space="preserve"> Income!AG$18</f>
        <v>2450000</v>
      </c>
      <c r="AH8" s="10">
        <f ca="1" xml:space="preserve"> Income!AH$18</f>
        <v>2765000</v>
      </c>
      <c r="AI8" s="10">
        <f ca="1" xml:space="preserve"> Income!AI$18</f>
        <v>2905000</v>
      </c>
      <c r="AJ8" s="10">
        <f ca="1" xml:space="preserve"> Income!AJ$18</f>
        <v>3220000</v>
      </c>
      <c r="AK8" s="10">
        <f ca="1" xml:space="preserve"> Income!AK$18</f>
        <v>3360000</v>
      </c>
      <c r="AL8" s="10">
        <f ca="1" xml:space="preserve"> Income!AL$18</f>
        <v>3605000</v>
      </c>
      <c r="AM8" s="10">
        <f ca="1" xml:space="preserve"> Income!AM$18</f>
        <v>3850000</v>
      </c>
      <c r="AN8" s="10">
        <f ca="1" xml:space="preserve"> Income!AN$18</f>
        <v>4095000</v>
      </c>
      <c r="AO8" s="10">
        <f ca="1" xml:space="preserve"> Income!AO$18</f>
        <v>4270000</v>
      </c>
      <c r="AP8" s="10">
        <f ca="1" xml:space="preserve"> Income!AP$18</f>
        <v>4620000</v>
      </c>
      <c r="AQ8" s="10">
        <f ca="1" xml:space="preserve"> Income!AQ$18</f>
        <v>4795000</v>
      </c>
      <c r="AR8" s="10">
        <f ca="1" xml:space="preserve"> Income!AR$18</f>
        <v>5145000</v>
      </c>
      <c r="AS8" s="10">
        <f ca="1" xml:space="preserve"> Income!AS$18</f>
        <v>5495000</v>
      </c>
      <c r="AT8" s="10">
        <f ca="1" xml:space="preserve"> Income!AT$18</f>
        <v>6009593.9584871242</v>
      </c>
      <c r="AU8" s="10">
        <f ca="1" xml:space="preserve"> Income!AU$18</f>
        <v>6338163.1000329833</v>
      </c>
      <c r="AV8" s="10">
        <f ca="1" xml:space="preserve"> Income!AV$18</f>
        <v>6830051.8549075071</v>
      </c>
      <c r="AW8" s="10">
        <f ca="1" xml:space="preserve"> Income!AW$18</f>
        <v>7484565.6711759046</v>
      </c>
      <c r="AX8" s="10">
        <f ca="1" xml:space="preserve"> Income!AX$18</f>
        <v>7950968.6966961483</v>
      </c>
      <c r="AY8" s="10">
        <f ca="1" xml:space="preserve"> Income!AY$18</f>
        <v>8578481.323280856</v>
      </c>
      <c r="AZ8" s="10">
        <f ca="1" xml:space="preserve"> Income!AZ$18</f>
        <v>9191277.584827438</v>
      </c>
      <c r="BA8" s="10">
        <f ca="1" xml:space="preserve"> Income!BA$18</f>
        <v>9788482.4007330053</v>
      </c>
      <c r="BB8" s="10">
        <f ca="1" xml:space="preserve"> Income!BB$18</f>
        <v>10369168.655394204</v>
      </c>
      <c r="BC8" s="10">
        <f ca="1" xml:space="preserve"> Income!BC$18</f>
        <v>11107354.104045086</v>
      </c>
      <c r="BD8" s="10">
        <f ca="1" xml:space="preserve"> Income!BD$18</f>
        <v>11826998.094606493</v>
      </c>
      <c r="BE8" s="10">
        <f ca="1" xml:space="preserve"> Income!BE$18</f>
        <v>12701998.094606493</v>
      </c>
      <c r="BF8" s="10">
        <f ca="1" xml:space="preserve"> Income!BF$18</f>
        <v>13524686.011580739</v>
      </c>
      <c r="BG8" s="10">
        <f ca="1" xml:space="preserve"> Income!BG$18</f>
        <v>14325324.294672459</v>
      </c>
      <c r="BH8" s="10">
        <f ca="1" xml:space="preserve"> Income!BH$18</f>
        <v>15277601.804421507</v>
      </c>
      <c r="BI8" s="10">
        <f ca="1" xml:space="preserve"> Income!BI$18</f>
        <v>16205129.4369583</v>
      </c>
      <c r="BJ8" s="10">
        <f ca="1" xml:space="preserve"> Income!BJ$18</f>
        <v>17218435.487998791</v>
      </c>
      <c r="BK8" s="10">
        <f ca="1" xml:space="preserve"> Income!BK$18</f>
        <v>18203960.741168205</v>
      </c>
      <c r="BL8" s="10">
        <f ca="1" xml:space="preserve"> Income!BL$18</f>
        <v>19335053.264261369</v>
      </c>
      <c r="BM8" s="10">
        <f ca="1" xml:space="preserve"> Income!BM$18</f>
        <v>20371962.896072499</v>
      </c>
      <c r="BN8" s="10">
        <f ca="1" xml:space="preserve"> Income!BN$18</f>
        <v>21550835.405394897</v>
      </c>
      <c r="BO8" s="10">
        <f ca="1" xml:space="preserve"> Income!BO$18</f>
        <v>22869706.30269666</v>
      </c>
      <c r="BP8" s="10">
        <f ca="1" xml:space="preserve"> Income!BP$18</f>
        <v>24151494.283819474</v>
      </c>
      <c r="BQ8" s="10">
        <f ca="1" xml:space="preserve"> Income!BQ$18</f>
        <v>25568994.283819474</v>
      </c>
    </row>
    <row r="9" spans="1:69">
      <c r="E9" s="17" t="str">
        <f xml:space="preserve"> Expense!E$27</f>
        <v xml:space="preserve">Variable Operating expense </v>
      </c>
      <c r="F9" s="17">
        <f xml:space="preserve"> Expense!F$27</f>
        <v>0</v>
      </c>
      <c r="G9" s="17" t="str">
        <f xml:space="preserve"> Expense!G$27</f>
        <v>GBP</v>
      </c>
      <c r="H9" s="44">
        <f ca="1" xml:space="preserve"> Expense!H$27</f>
        <v>-69258760.470558211</v>
      </c>
      <c r="I9" s="17">
        <f xml:space="preserve"> Expense!I$27</f>
        <v>0</v>
      </c>
      <c r="J9" s="10">
        <f ca="1">Expense!J$27</f>
        <v>-42000</v>
      </c>
      <c r="K9" s="10">
        <f ca="1">Expense!K$27</f>
        <v>-42000</v>
      </c>
      <c r="L9" s="10">
        <f ca="1">Expense!L$27</f>
        <v>-42000</v>
      </c>
      <c r="M9" s="10">
        <f ca="1">Expense!M$27</f>
        <v>-42000</v>
      </c>
      <c r="N9" s="10">
        <f ca="1">Expense!N$27</f>
        <v>-126000</v>
      </c>
      <c r="O9" s="10">
        <f ca="1">Expense!O$27</f>
        <v>-126000</v>
      </c>
      <c r="P9" s="10">
        <f ca="1">Expense!P$27</f>
        <v>-126000</v>
      </c>
      <c r="Q9" s="10">
        <f ca="1">Expense!Q$27</f>
        <v>-210000</v>
      </c>
      <c r="R9" s="10">
        <f ca="1">Expense!R$27</f>
        <v>-210000</v>
      </c>
      <c r="S9" s="10">
        <f ca="1">Expense!S$27</f>
        <v>-210000</v>
      </c>
      <c r="T9" s="10">
        <f ca="1">Expense!T$27</f>
        <v>-210000</v>
      </c>
      <c r="U9" s="10">
        <f ca="1">Expense!U$27</f>
        <v>-210000</v>
      </c>
      <c r="V9" s="10">
        <f ca="1">Expense!V$27</f>
        <v>-222487.24981545203</v>
      </c>
      <c r="W9" s="10">
        <f ca="1">Expense!W$27</f>
        <v>-235717.0301449683</v>
      </c>
      <c r="X9" s="10">
        <f ca="1">Expense!X$27</f>
        <v>-249733.49415057144</v>
      </c>
      <c r="Y9" s="10">
        <f ca="1">Expense!Y$27</f>
        <v>-264583.42047792341</v>
      </c>
      <c r="Z9" s="10">
        <f ca="1">Expense!Z$27</f>
        <v>-280316.36937570723</v>
      </c>
      <c r="AA9" s="10">
        <f ca="1">Expense!AA$27</f>
        <v>-296984.84809834993</v>
      </c>
      <c r="AB9" s="10">
        <f ca="1">Expense!AB$27</f>
        <v>-314644.48614410311</v>
      </c>
      <c r="AC9" s="10">
        <f ca="1">Expense!AC$27</f>
        <v>-333354.22091332194</v>
      </c>
      <c r="AD9" s="10">
        <f ca="1">Expense!AD$27</f>
        <v>-353176.4944065602</v>
      </c>
      <c r="AE9" s="10">
        <f ca="1">Expense!AE$27</f>
        <v>-374177.46161894262</v>
      </c>
      <c r="AF9" s="10">
        <f ca="1">Expense!AF$27</f>
        <v>-396427.21132631134</v>
      </c>
      <c r="AG9" s="10">
        <f ca="1">Expense!AG$27</f>
        <v>-420000.00000000012</v>
      </c>
      <c r="AH9" s="10">
        <f ca="1">Expense!AH$27</f>
        <v>-482774.49963090406</v>
      </c>
      <c r="AI9" s="10">
        <f ca="1">Expense!AI$27</f>
        <v>-509234.06028993672</v>
      </c>
      <c r="AJ9" s="10">
        <f ca="1">Expense!AJ$27</f>
        <v>-537266.98830114293</v>
      </c>
      <c r="AK9" s="10">
        <f ca="1">Expense!AK$27</f>
        <v>-566966.84095584694</v>
      </c>
      <c r="AL9" s="10">
        <f ca="1">Expense!AL$27</f>
        <v>-674032.73875141481</v>
      </c>
      <c r="AM9" s="10">
        <f ca="1">Expense!AM$27</f>
        <v>-707369.69619670033</v>
      </c>
      <c r="AN9" s="10">
        <f ca="1">Expense!AN$27</f>
        <v>-742688.9722882068</v>
      </c>
      <c r="AO9" s="10">
        <f ca="1">Expense!AO$27</f>
        <v>-855708.44182664424</v>
      </c>
      <c r="AP9" s="10">
        <f ca="1">Expense!AP$27</f>
        <v>-895352.98881312052</v>
      </c>
      <c r="AQ9" s="10">
        <f ca="1">Expense!AQ$27</f>
        <v>-937354.92323788558</v>
      </c>
      <c r="AR9" s="10">
        <f ca="1">Expense!AR$27</f>
        <v>-981854.42265262292</v>
      </c>
      <c r="AS9" s="10">
        <f ca="1">Expense!AS$27</f>
        <v>-1029000.0000000005</v>
      </c>
      <c r="AT9" s="10">
        <f ca="1">Expense!AT$27</f>
        <v>-1090187.5240957155</v>
      </c>
      <c r="AU9" s="10">
        <f ca="1">Expense!AU$27</f>
        <v>-1155013.4477103457</v>
      </c>
      <c r="AV9" s="10">
        <f ca="1">Expense!AV$27</f>
        <v>-1223694.121337801</v>
      </c>
      <c r="AW9" s="10">
        <f ca="1">Expense!AW$27</f>
        <v>-1296458.7603418257</v>
      </c>
      <c r="AX9" s="10">
        <f ca="1">Expense!AX$27</f>
        <v>-1373550.2099409667</v>
      </c>
      <c r="AY9" s="10">
        <f ca="1">Expense!AY$27</f>
        <v>-1455225.7556819161</v>
      </c>
      <c r="AZ9" s="10">
        <f ca="1">Expense!AZ$27</f>
        <v>-1541757.9821061066</v>
      </c>
      <c r="BA9" s="10">
        <f ca="1">Expense!BA$27</f>
        <v>-1633435.6824752789</v>
      </c>
      <c r="BB9" s="10">
        <f ca="1">Expense!BB$27</f>
        <v>-1730564.822592146</v>
      </c>
      <c r="BC9" s="10">
        <f ca="1">Expense!BC$27</f>
        <v>-1833469.5619328201</v>
      </c>
      <c r="BD9" s="10">
        <f ca="1">Expense!BD$27</f>
        <v>-1942493.3354989272</v>
      </c>
      <c r="BE9" s="10">
        <f ca="1">Expense!BE$27</f>
        <v>-2058000.0000000023</v>
      </c>
      <c r="BF9" s="10">
        <f ca="1">Expense!BF$27</f>
        <v>-2180375.0481914324</v>
      </c>
      <c r="BG9" s="10">
        <f ca="1">Expense!BG$27</f>
        <v>-2310026.8954206924</v>
      </c>
      <c r="BH9" s="10">
        <f ca="1">Expense!BH$27</f>
        <v>-2447388.2426756029</v>
      </c>
      <c r="BI9" s="10">
        <f ca="1">Expense!BI$27</f>
        <v>-2592917.5206836523</v>
      </c>
      <c r="BJ9" s="10">
        <f ca="1">Expense!BJ$27</f>
        <v>-2747100.4198819343</v>
      </c>
      <c r="BK9" s="10">
        <f ca="1">Expense!BK$27</f>
        <v>-2910451.5113638337</v>
      </c>
      <c r="BL9" s="10">
        <f ca="1">Expense!BL$27</f>
        <v>-3083515.9642122155</v>
      </c>
      <c r="BM9" s="10">
        <f ca="1">Expense!BM$27</f>
        <v>-3266871.36495056</v>
      </c>
      <c r="BN9" s="10">
        <f ca="1">Expense!BN$27</f>
        <v>-3461129.6451842943</v>
      </c>
      <c r="BO9" s="10">
        <f ca="1">Expense!BO$27</f>
        <v>-3666939.1238656417</v>
      </c>
      <c r="BP9" s="10">
        <f ca="1">Expense!BP$27</f>
        <v>-3884986.6709978567</v>
      </c>
      <c r="BQ9" s="10">
        <f ca="1">Expense!BQ$27</f>
        <v>-4116000.000000007</v>
      </c>
    </row>
    <row r="10" spans="1:69">
      <c r="E10" s="17" t="str">
        <f xml:space="preserve"> Expense!E$20</f>
        <v xml:space="preserve">Fixed operating expense </v>
      </c>
      <c r="F10" s="17">
        <f xml:space="preserve"> Expense!F$20</f>
        <v>0</v>
      </c>
      <c r="G10" s="17" t="str">
        <f xml:space="preserve"> Expense!G$20</f>
        <v>GBP</v>
      </c>
      <c r="H10" s="44">
        <f xml:space="preserve"> Expense!H$20</f>
        <v>-1899484.1637263105</v>
      </c>
      <c r="I10" s="17">
        <f xml:space="preserve"> Expense!I$20</f>
        <v>0</v>
      </c>
      <c r="J10" s="10">
        <f>Expense!J$20</f>
        <v>-25000</v>
      </c>
      <c r="K10" s="10">
        <f>Expense!K$20</f>
        <v>-25000</v>
      </c>
      <c r="L10" s="10">
        <f>Expense!L$20</f>
        <v>-25000</v>
      </c>
      <c r="M10" s="10">
        <f>Expense!M$20</f>
        <v>-25607.856851345517</v>
      </c>
      <c r="N10" s="10">
        <f>Expense!N$20</f>
        <v>-25607.856851345517</v>
      </c>
      <c r="O10" s="10">
        <f>Expense!O$20</f>
        <v>-25607.856851345517</v>
      </c>
      <c r="P10" s="10">
        <f>Expense!P$20</f>
        <v>-26230.493300760143</v>
      </c>
      <c r="Q10" s="10">
        <f>Expense!Q$20</f>
        <v>-26230.493300760143</v>
      </c>
      <c r="R10" s="10">
        <f>Expense!R$20</f>
        <v>-26230.493300760143</v>
      </c>
      <c r="S10" s="10">
        <f>Expense!S$20</f>
        <v>-26868.268703441732</v>
      </c>
      <c r="T10" s="10">
        <f>Expense!T$20</f>
        <v>-26868.268703441732</v>
      </c>
      <c r="U10" s="10">
        <f>Expense!U$20</f>
        <v>-26868.268703441732</v>
      </c>
      <c r="V10" s="10">
        <f>Expense!V$20</f>
        <v>-27500.000000000004</v>
      </c>
      <c r="W10" s="10">
        <f>Expense!W$20</f>
        <v>-27500.000000000004</v>
      </c>
      <c r="X10" s="10">
        <f>Expense!X$20</f>
        <v>-27500.000000000004</v>
      </c>
      <c r="Y10" s="10">
        <f>Expense!Y$20</f>
        <v>-28171.389663808775</v>
      </c>
      <c r="Z10" s="10">
        <f>Expense!Z$20</f>
        <v>-28171.389663808775</v>
      </c>
      <c r="AA10" s="10">
        <f>Expense!AA$20</f>
        <v>-28171.389663808775</v>
      </c>
      <c r="AB10" s="10">
        <f>Expense!AB$20</f>
        <v>-28855.408240598044</v>
      </c>
      <c r="AC10" s="10">
        <f>Expense!AC$20</f>
        <v>-28855.408240598044</v>
      </c>
      <c r="AD10" s="10">
        <f>Expense!AD$20</f>
        <v>-28855.408240598044</v>
      </c>
      <c r="AE10" s="10">
        <f>Expense!AE$20</f>
        <v>-29558.292610174307</v>
      </c>
      <c r="AF10" s="10">
        <f>Expense!AF$20</f>
        <v>-29558.292610174307</v>
      </c>
      <c r="AG10" s="10">
        <f>Expense!AG$20</f>
        <v>-29558.292610174307</v>
      </c>
      <c r="AH10" s="10">
        <f>Expense!AH$20</f>
        <v>-30252.630710131383</v>
      </c>
      <c r="AI10" s="10">
        <f>Expense!AI$20</f>
        <v>-30252.630710131383</v>
      </c>
      <c r="AJ10" s="10">
        <f>Expense!AJ$20</f>
        <v>-30252.630710131383</v>
      </c>
      <c r="AK10" s="10">
        <f>Expense!AK$20</f>
        <v>-30987.522236491855</v>
      </c>
      <c r="AL10" s="10">
        <f>Expense!AL$20</f>
        <v>-30987.522236491855</v>
      </c>
      <c r="AM10" s="10">
        <f>Expense!AM$20</f>
        <v>-30987.522236491855</v>
      </c>
      <c r="AN10" s="10">
        <f>Expense!AN$20</f>
        <v>-31740.265617148605</v>
      </c>
      <c r="AO10" s="10">
        <f>Expense!AO$20</f>
        <v>-31740.265617148605</v>
      </c>
      <c r="AP10" s="10">
        <f>Expense!AP$20</f>
        <v>-31740.265617148605</v>
      </c>
      <c r="AQ10" s="10">
        <f>Expense!AQ$20</f>
        <v>-32513.243252308428</v>
      </c>
      <c r="AR10" s="10">
        <f>Expense!AR$20</f>
        <v>-32513.243252308428</v>
      </c>
      <c r="AS10" s="10">
        <f>Expense!AS$20</f>
        <v>-32513.243252308428</v>
      </c>
      <c r="AT10" s="10">
        <f>Expense!AT$20</f>
        <v>-33277.170807448252</v>
      </c>
      <c r="AU10" s="10">
        <f>Expense!AU$20</f>
        <v>-33277.170807448252</v>
      </c>
      <c r="AV10" s="10">
        <f>Expense!AV$20</f>
        <v>-33277.170807448252</v>
      </c>
      <c r="AW10" s="10">
        <f>Expense!AW$20</f>
        <v>-34085.720578240354</v>
      </c>
      <c r="AX10" s="10">
        <f>Expense!AX$20</f>
        <v>-34085.720578240354</v>
      </c>
      <c r="AY10" s="10">
        <f>Expense!AY$20</f>
        <v>-34085.720578240354</v>
      </c>
      <c r="AZ10" s="10">
        <f>Expense!AZ$20</f>
        <v>-34913.916031522422</v>
      </c>
      <c r="BA10" s="10">
        <f>Expense!BA$20</f>
        <v>-34913.916031522422</v>
      </c>
      <c r="BB10" s="10">
        <f>Expense!BB$20</f>
        <v>-34913.916031522422</v>
      </c>
      <c r="BC10" s="10">
        <f>Expense!BC$20</f>
        <v>-35763.987489903346</v>
      </c>
      <c r="BD10" s="10">
        <f>Expense!BD$20</f>
        <v>-35763.987489903346</v>
      </c>
      <c r="BE10" s="10">
        <f>Expense!BE$20</f>
        <v>-35763.987489903346</v>
      </c>
      <c r="BF10" s="10">
        <f>Expense!BF$20</f>
        <v>-36604.410559640419</v>
      </c>
      <c r="BG10" s="10">
        <f>Expense!BG$20</f>
        <v>-36604.410559640419</v>
      </c>
      <c r="BH10" s="10">
        <f>Expense!BH$20</f>
        <v>-36604.410559640419</v>
      </c>
      <c r="BI10" s="10">
        <f>Expense!BI$20</f>
        <v>-37493.926945298947</v>
      </c>
      <c r="BJ10" s="10">
        <f>Expense!BJ$20</f>
        <v>-37493.926945298947</v>
      </c>
      <c r="BK10" s="10">
        <f>Expense!BK$20</f>
        <v>-37493.926945298947</v>
      </c>
      <c r="BL10" s="10">
        <f>Expense!BL$20</f>
        <v>-38405.059288932411</v>
      </c>
      <c r="BM10" s="10">
        <f>Expense!BM$20</f>
        <v>-38405.059288932411</v>
      </c>
      <c r="BN10" s="10">
        <f>Expense!BN$20</f>
        <v>-38405.059288932411</v>
      </c>
      <c r="BO10" s="10">
        <f>Expense!BO$20</f>
        <v>-39331.82502157487</v>
      </c>
      <c r="BP10" s="10">
        <f>Expense!BP$20</f>
        <v>-39331.82502157487</v>
      </c>
      <c r="BQ10" s="10">
        <f>Expense!BQ$20</f>
        <v>-39331.82502157487</v>
      </c>
    </row>
    <row r="11" spans="1:69">
      <c r="E11" s="12" t="s">
        <v>180</v>
      </c>
      <c r="F11" s="30"/>
      <c r="G11" s="12" t="s">
        <v>257</v>
      </c>
      <c r="H11" s="54">
        <f ca="1" xml:space="preserve"> SUM( J11:BQ11 )</f>
        <v>340527397.30397832</v>
      </c>
      <c r="I11" s="30"/>
      <c r="J11" s="12">
        <f t="shared" ref="J11:BQ11" ca="1" si="0" xml:space="preserve"> SUM( J8:J10 )</f>
        <v>-67000</v>
      </c>
      <c r="K11" s="12">
        <f t="shared" ca="1" si="0"/>
        <v>-67000</v>
      </c>
      <c r="L11" s="12">
        <f t="shared" ca="1" si="0"/>
        <v>3000</v>
      </c>
      <c r="M11" s="12">
        <f t="shared" ca="1" si="0"/>
        <v>37392.143148654483</v>
      </c>
      <c r="N11" s="12">
        <f t="shared" ca="1" si="0"/>
        <v>-11607.856851345517</v>
      </c>
      <c r="O11" s="12">
        <f t="shared" ca="1" si="0"/>
        <v>23392.143148654483</v>
      </c>
      <c r="P11" s="12">
        <f t="shared" ca="1" si="0"/>
        <v>197769.50669923986</v>
      </c>
      <c r="Q11" s="12">
        <f t="shared" ca="1" si="0"/>
        <v>218769.50669923986</v>
      </c>
      <c r="R11" s="12">
        <f t="shared" ca="1" si="0"/>
        <v>288769.50669923984</v>
      </c>
      <c r="S11" s="12">
        <f t="shared" ca="1" si="0"/>
        <v>288131.73129655828</v>
      </c>
      <c r="T11" s="12">
        <f t="shared" ca="1" si="0"/>
        <v>638131.73129655828</v>
      </c>
      <c r="U11" s="12">
        <f t="shared" ca="1" si="0"/>
        <v>638131.73129655828</v>
      </c>
      <c r="V11" s="12">
        <f t="shared" ca="1" si="0"/>
        <v>975012.75018454797</v>
      </c>
      <c r="W11" s="12">
        <f t="shared" ca="1" si="0"/>
        <v>1252189.0113679084</v>
      </c>
      <c r="X11" s="12">
        <f t="shared" ca="1" si="0"/>
        <v>1297766.5058494285</v>
      </c>
      <c r="Y11" s="12">
        <f t="shared" ca="1" si="0"/>
        <v>1627193.3349507609</v>
      </c>
      <c r="Z11" s="12">
        <f t="shared" ca="1" si="0"/>
        <v>1616512.2409604841</v>
      </c>
      <c r="AA11" s="12">
        <f t="shared" ca="1" si="0"/>
        <v>1599843.7622378413</v>
      </c>
      <c r="AB11" s="12">
        <f t="shared" ca="1" si="0"/>
        <v>1581500.1056152987</v>
      </c>
      <c r="AC11" s="12">
        <f t="shared" ca="1" si="0"/>
        <v>1562790.3708460801</v>
      </c>
      <c r="AD11" s="12">
        <f t="shared" ca="1" si="0"/>
        <v>1542968.0973528419</v>
      </c>
      <c r="AE11" s="12">
        <f t="shared" ca="1" si="0"/>
        <v>1696264.245770883</v>
      </c>
      <c r="AF11" s="12">
        <f t="shared" ca="1" si="0"/>
        <v>1849014.4960635144</v>
      </c>
      <c r="AG11" s="12">
        <f t="shared" ca="1" si="0"/>
        <v>2000441.7073898257</v>
      </c>
      <c r="AH11" s="12">
        <f t="shared" ca="1" si="0"/>
        <v>2251972.8696589647</v>
      </c>
      <c r="AI11" s="12">
        <f t="shared" ca="1" si="0"/>
        <v>2365513.3089999319</v>
      </c>
      <c r="AJ11" s="12">
        <f t="shared" ca="1" si="0"/>
        <v>2652480.3809887255</v>
      </c>
      <c r="AK11" s="12">
        <f t="shared" ca="1" si="0"/>
        <v>2762045.636807661</v>
      </c>
      <c r="AL11" s="12">
        <f t="shared" ca="1" si="0"/>
        <v>2899979.7390120933</v>
      </c>
      <c r="AM11" s="12">
        <f t="shared" ca="1" si="0"/>
        <v>3111642.7815668075</v>
      </c>
      <c r="AN11" s="12">
        <f t="shared" ca="1" si="0"/>
        <v>3320570.7620946448</v>
      </c>
      <c r="AO11" s="12">
        <f t="shared" ca="1" si="0"/>
        <v>3382551.2925562072</v>
      </c>
      <c r="AP11" s="12">
        <f t="shared" ca="1" si="0"/>
        <v>3692906.7455697311</v>
      </c>
      <c r="AQ11" s="12">
        <f t="shared" ca="1" si="0"/>
        <v>3825131.8335098061</v>
      </c>
      <c r="AR11" s="12">
        <f t="shared" ca="1" si="0"/>
        <v>4130632.3340950687</v>
      </c>
      <c r="AS11" s="12">
        <f t="shared" ca="1" si="0"/>
        <v>4433486.7567476919</v>
      </c>
      <c r="AT11" s="12">
        <f t="shared" ca="1" si="0"/>
        <v>4886129.2635839609</v>
      </c>
      <c r="AU11" s="12">
        <f t="shared" ca="1" si="0"/>
        <v>5149872.4815151896</v>
      </c>
      <c r="AV11" s="12">
        <f t="shared" ca="1" si="0"/>
        <v>5573080.5627622576</v>
      </c>
      <c r="AW11" s="12">
        <f t="shared" ca="1" si="0"/>
        <v>6154021.1902558384</v>
      </c>
      <c r="AX11" s="12">
        <f t="shared" ca="1" si="0"/>
        <v>6543332.7661769409</v>
      </c>
      <c r="AY11" s="12">
        <f t="shared" ca="1" si="0"/>
        <v>7089169.8470206996</v>
      </c>
      <c r="AZ11" s="12">
        <f t="shared" ca="1" si="0"/>
        <v>7614605.686689809</v>
      </c>
      <c r="BA11" s="12">
        <f t="shared" ca="1" si="0"/>
        <v>8120132.8022262035</v>
      </c>
      <c r="BB11" s="12">
        <f t="shared" ca="1" si="0"/>
        <v>8603689.9167705346</v>
      </c>
      <c r="BC11" s="12">
        <f t="shared" ca="1" si="0"/>
        <v>9238120.5546223614</v>
      </c>
      <c r="BD11" s="12">
        <f t="shared" ca="1" si="0"/>
        <v>9848740.7716176622</v>
      </c>
      <c r="BE11" s="12">
        <f t="shared" ca="1" si="0"/>
        <v>10608234.107116587</v>
      </c>
      <c r="BF11" s="12">
        <f t="shared" ca="1" si="0"/>
        <v>11307706.552829666</v>
      </c>
      <c r="BG11" s="12">
        <f t="shared" ca="1" si="0"/>
        <v>11978692.988692125</v>
      </c>
      <c r="BH11" s="12">
        <f t="shared" ca="1" si="0"/>
        <v>12793609.151186263</v>
      </c>
      <c r="BI11" s="12">
        <f t="shared" ca="1" si="0"/>
        <v>13574717.989329349</v>
      </c>
      <c r="BJ11" s="12">
        <f t="shared" ca="1" si="0"/>
        <v>14433841.141171558</v>
      </c>
      <c r="BK11" s="12">
        <f t="shared" ca="1" si="0"/>
        <v>15256015.302859072</v>
      </c>
      <c r="BL11" s="12">
        <f t="shared" ca="1" si="0"/>
        <v>16213132.24076022</v>
      </c>
      <c r="BM11" s="12">
        <f t="shared" ca="1" si="0"/>
        <v>17066686.471833006</v>
      </c>
      <c r="BN11" s="12">
        <f t="shared" ca="1" si="0"/>
        <v>18051300.70092167</v>
      </c>
      <c r="BO11" s="12">
        <f t="shared" ca="1" si="0"/>
        <v>19163435.353809442</v>
      </c>
      <c r="BP11" s="12">
        <f t="shared" ca="1" si="0"/>
        <v>20227175.78780004</v>
      </c>
      <c r="BQ11" s="12">
        <f t="shared" ca="1" si="0"/>
        <v>21413662.458797891</v>
      </c>
    </row>
    <row r="13" spans="1:69">
      <c r="E13" s="17" t="str">
        <f xml:space="preserve"> Assets!E$14</f>
        <v xml:space="preserve">Depreciation this period </v>
      </c>
      <c r="F13" s="17">
        <f xml:space="preserve"> Assets!F$14</f>
        <v>0</v>
      </c>
      <c r="G13" s="17" t="str">
        <f xml:space="preserve"> Assets!G$14</f>
        <v>GBP</v>
      </c>
      <c r="H13" s="44">
        <f ca="1" xml:space="preserve"> Assets!H$14</f>
        <v>-16926512.227826584</v>
      </c>
      <c r="I13" s="17">
        <f xml:space="preserve"> Assets!I$14</f>
        <v>0</v>
      </c>
      <c r="J13" s="10">
        <f ca="1">Assets!J$14</f>
        <v>0</v>
      </c>
      <c r="K13" s="10">
        <f ca="1">Assets!K$14</f>
        <v>-7291.666666666667</v>
      </c>
      <c r="L13" s="10">
        <f ca="1">Assets!L$14</f>
        <v>7291.666666666667</v>
      </c>
      <c r="M13" s="10">
        <f ca="1">Assets!M$14</f>
        <v>7291.666666666667</v>
      </c>
      <c r="N13" s="10">
        <f ca="1">Assets!N$14</f>
        <v>7291.666666666667</v>
      </c>
      <c r="O13" s="10">
        <f ca="1">Assets!O$14</f>
        <v>-21875</v>
      </c>
      <c r="P13" s="10">
        <f ca="1">Assets!P$14</f>
        <v>-7291.666666666667</v>
      </c>
      <c r="Q13" s="10">
        <f ca="1">Assets!Q$14</f>
        <v>-21875</v>
      </c>
      <c r="R13" s="10">
        <f ca="1">Assets!R$14</f>
        <v>-7291.666666666667</v>
      </c>
      <c r="S13" s="10">
        <f ca="1">Assets!S$14</f>
        <v>-36458.333333333336</v>
      </c>
      <c r="T13" s="10">
        <f ca="1">Assets!T$14</f>
        <v>-36458.333333333336</v>
      </c>
      <c r="U13" s="10">
        <f ca="1">Assets!U$14</f>
        <v>-51041.666666666664</v>
      </c>
      <c r="V13" s="10">
        <f ca="1">Assets!V$14</f>
        <v>-65625</v>
      </c>
      <c r="W13" s="10">
        <f ca="1">Assets!W$14</f>
        <v>-65625</v>
      </c>
      <c r="X13" s="10">
        <f ca="1">Assets!X$14</f>
        <v>-72916.666666666672</v>
      </c>
      <c r="Y13" s="10">
        <f ca="1">Assets!Y$14</f>
        <v>-72916.666666666672</v>
      </c>
      <c r="Z13" s="10">
        <f ca="1">Assets!Z$14</f>
        <v>-72916.666666666672</v>
      </c>
      <c r="AA13" s="10">
        <f ca="1">Assets!AA$14</f>
        <v>-65625</v>
      </c>
      <c r="AB13" s="10">
        <f ca="1">Assets!AB$14</f>
        <v>-72916.666666666672</v>
      </c>
      <c r="AC13" s="10">
        <f ca="1">Assets!AC$14</f>
        <v>-65625</v>
      </c>
      <c r="AD13" s="10">
        <f ca="1">Assets!AD$14</f>
        <v>-80208.333333333328</v>
      </c>
      <c r="AE13" s="10">
        <f ca="1">Assets!AE$14</f>
        <v>-80208.333333333328</v>
      </c>
      <c r="AF13" s="10">
        <f ca="1">Assets!AF$14</f>
        <v>-87500</v>
      </c>
      <c r="AG13" s="10">
        <f ca="1">Assets!AG$14</f>
        <v>-102083.33333333333</v>
      </c>
      <c r="AH13" s="10">
        <f ca="1">Assets!AH$14</f>
        <v>-109375</v>
      </c>
      <c r="AI13" s="10">
        <f ca="1">Assets!AI$14</f>
        <v>-115208.33333333333</v>
      </c>
      <c r="AJ13" s="10">
        <f ca="1">Assets!AJ$14</f>
        <v>-128333.33333333333</v>
      </c>
      <c r="AK13" s="10">
        <f ca="1">Assets!AK$14</f>
        <v>-134166.66666666666</v>
      </c>
      <c r="AL13" s="10">
        <f ca="1">Assets!AL$14</f>
        <v>-147291.66666666666</v>
      </c>
      <c r="AM13" s="10">
        <f ca="1">Assets!AM$14</f>
        <v>-150208.33333333334</v>
      </c>
      <c r="AN13" s="10">
        <f ca="1">Assets!AN$14</f>
        <v>-167708.33333333334</v>
      </c>
      <c r="AO13" s="10">
        <f ca="1">Assets!AO$14</f>
        <v>-177916.66666666666</v>
      </c>
      <c r="AP13" s="10">
        <f ca="1">Assets!AP$14</f>
        <v>-177916.66666666666</v>
      </c>
      <c r="AQ13" s="10">
        <f ca="1">Assets!AQ$14</f>
        <v>-199791.66666666666</v>
      </c>
      <c r="AR13" s="10">
        <f ca="1">Assets!AR$14</f>
        <v>-207083.33333333334</v>
      </c>
      <c r="AS13" s="10">
        <f ca="1">Assets!AS$14</f>
        <v>-228958.33333333334</v>
      </c>
      <c r="AT13" s="10">
        <f ca="1">Assets!AT$14</f>
        <v>-243541.66666666666</v>
      </c>
      <c r="AU13" s="10">
        <f ca="1">Assets!AU$14</f>
        <v>-264983.08160363015</v>
      </c>
      <c r="AV13" s="10">
        <f ca="1">Assets!AV$14</f>
        <v>-285965.12916804099</v>
      </c>
      <c r="AW13" s="10">
        <f ca="1">Assets!AW$14</f>
        <v>-306460.49395447946</v>
      </c>
      <c r="AX13" s="10">
        <f ca="1">Assets!AX$14</f>
        <v>-326440.23629899602</v>
      </c>
      <c r="AY13" s="10">
        <f ca="1">Assets!AY$14</f>
        <v>-353165.36236233957</v>
      </c>
      <c r="AZ13" s="10">
        <f ca="1">Assets!AZ$14</f>
        <v>-379311.72180336906</v>
      </c>
      <c r="BA13" s="10">
        <f ca="1">Assets!BA$14</f>
        <v>-397553.23270114325</v>
      </c>
      <c r="BB13" s="10">
        <f ca="1">Assets!BB$14</f>
        <v>-429728.43336387508</v>
      </c>
      <c r="BC13" s="10">
        <f ca="1">Assets!BC$14</f>
        <v>-453923.69397475832</v>
      </c>
      <c r="BD13" s="10">
        <f ca="1">Assets!BD$14</f>
        <v>-491973.08766854508</v>
      </c>
      <c r="BE13" s="10">
        <f ca="1">Assets!BE$14</f>
        <v>-521958.25394193706</v>
      </c>
      <c r="BF13" s="10">
        <f ca="1">Assets!BF$14</f>
        <v>-558416.58727527037</v>
      </c>
      <c r="BG13" s="10">
        <f ca="1">Assets!BG$14</f>
        <v>-592695.25048253068</v>
      </c>
      <c r="BH13" s="10">
        <f ca="1">Assets!BH$14</f>
        <v>-626055.17894468561</v>
      </c>
      <c r="BI13" s="10">
        <f ca="1">Assets!BI$14</f>
        <v>-673025.0751842293</v>
      </c>
      <c r="BJ13" s="10">
        <f ca="1">Assets!BJ$14</f>
        <v>-711672.05987326242</v>
      </c>
      <c r="BK13" s="10">
        <f ca="1">Assets!BK$14</f>
        <v>-753893.14533328277</v>
      </c>
      <c r="BL13" s="10">
        <f ca="1">Assets!BL$14</f>
        <v>-794956.69754867523</v>
      </c>
      <c r="BM13" s="10">
        <f ca="1">Assets!BM$14</f>
        <v>-849377.2193442235</v>
      </c>
      <c r="BN13" s="10">
        <f ca="1">Assets!BN$14</f>
        <v>-892581.78733635379</v>
      </c>
      <c r="BO13" s="10">
        <f ca="1">Assets!BO$14</f>
        <v>-948993.14189145376</v>
      </c>
      <c r="BP13" s="10">
        <f ca="1">Assets!BP$14</f>
        <v>-996654.42927902716</v>
      </c>
      <c r="BQ13" s="10">
        <f ca="1">Assets!BQ$14</f>
        <v>-1057353.9284924779</v>
      </c>
    </row>
    <row r="14" spans="1:69">
      <c r="E14" s="12" t="s">
        <v>63</v>
      </c>
      <c r="F14" s="30"/>
      <c r="G14" s="12" t="s">
        <v>257</v>
      </c>
      <c r="H14" s="54">
        <f ca="1" xml:space="preserve"> SUM( J14:BQ14 )</f>
        <v>323600885.07615185</v>
      </c>
      <c r="I14" s="30"/>
      <c r="J14" s="12">
        <f t="shared" ref="J14:BQ14" ca="1" si="1" xml:space="preserve"> J11 + J13</f>
        <v>-67000</v>
      </c>
      <c r="K14" s="12">
        <f t="shared" ca="1" si="1"/>
        <v>-74291.666666666672</v>
      </c>
      <c r="L14" s="12">
        <f t="shared" ca="1" si="1"/>
        <v>10291.666666666668</v>
      </c>
      <c r="M14" s="12">
        <f t="shared" ca="1" si="1"/>
        <v>44683.809815321147</v>
      </c>
      <c r="N14" s="12">
        <f t="shared" ca="1" si="1"/>
        <v>-4316.1901846788505</v>
      </c>
      <c r="O14" s="12">
        <f t="shared" ca="1" si="1"/>
        <v>1517.1431486544825</v>
      </c>
      <c r="P14" s="12">
        <f t="shared" ca="1" si="1"/>
        <v>190477.84003257321</v>
      </c>
      <c r="Q14" s="12">
        <f t="shared" ca="1" si="1"/>
        <v>196894.50669923986</v>
      </c>
      <c r="R14" s="12">
        <f t="shared" ca="1" si="1"/>
        <v>281477.84003257315</v>
      </c>
      <c r="S14" s="12">
        <f t="shared" ca="1" si="1"/>
        <v>251673.39796322494</v>
      </c>
      <c r="T14" s="12">
        <f t="shared" ca="1" si="1"/>
        <v>601673.39796322491</v>
      </c>
      <c r="U14" s="12">
        <f t="shared" ca="1" si="1"/>
        <v>587090.06462989165</v>
      </c>
      <c r="V14" s="12">
        <f t="shared" ca="1" si="1"/>
        <v>909387.75018454797</v>
      </c>
      <c r="W14" s="12">
        <f t="shared" ca="1" si="1"/>
        <v>1186564.0113679084</v>
      </c>
      <c r="X14" s="12">
        <f t="shared" ca="1" si="1"/>
        <v>1224849.8391827617</v>
      </c>
      <c r="Y14" s="12">
        <f t="shared" ca="1" si="1"/>
        <v>1554276.6682840942</v>
      </c>
      <c r="Z14" s="12">
        <f t="shared" ca="1" si="1"/>
        <v>1543595.5742938174</v>
      </c>
      <c r="AA14" s="12">
        <f t="shared" ca="1" si="1"/>
        <v>1534218.7622378413</v>
      </c>
      <c r="AB14" s="12">
        <f t="shared" ca="1" si="1"/>
        <v>1508583.438948632</v>
      </c>
      <c r="AC14" s="12">
        <f t="shared" ca="1" si="1"/>
        <v>1497165.3708460801</v>
      </c>
      <c r="AD14" s="12">
        <f t="shared" ca="1" si="1"/>
        <v>1462759.7640195086</v>
      </c>
      <c r="AE14" s="12">
        <f t="shared" ca="1" si="1"/>
        <v>1616055.9124375498</v>
      </c>
      <c r="AF14" s="12">
        <f t="shared" ca="1" si="1"/>
        <v>1761514.4960635144</v>
      </c>
      <c r="AG14" s="12">
        <f t="shared" ca="1" si="1"/>
        <v>1898358.3740564925</v>
      </c>
      <c r="AH14" s="12">
        <f t="shared" ca="1" si="1"/>
        <v>2142597.8696589647</v>
      </c>
      <c r="AI14" s="12">
        <f t="shared" ca="1" si="1"/>
        <v>2250304.9756665984</v>
      </c>
      <c r="AJ14" s="12">
        <f t="shared" ca="1" si="1"/>
        <v>2524147.047655392</v>
      </c>
      <c r="AK14" s="12">
        <f t="shared" ca="1" si="1"/>
        <v>2627878.9701409945</v>
      </c>
      <c r="AL14" s="12">
        <f t="shared" ca="1" si="1"/>
        <v>2752688.0723454268</v>
      </c>
      <c r="AM14" s="12">
        <f t="shared" ca="1" si="1"/>
        <v>2961434.448233474</v>
      </c>
      <c r="AN14" s="12">
        <f t="shared" ca="1" si="1"/>
        <v>3152862.4287613113</v>
      </c>
      <c r="AO14" s="12">
        <f t="shared" ca="1" si="1"/>
        <v>3204634.6258895406</v>
      </c>
      <c r="AP14" s="12">
        <f t="shared" ca="1" si="1"/>
        <v>3514990.0789030646</v>
      </c>
      <c r="AQ14" s="12">
        <f t="shared" ca="1" si="1"/>
        <v>3625340.1668431396</v>
      </c>
      <c r="AR14" s="12">
        <f t="shared" ca="1" si="1"/>
        <v>3923549.0007617353</v>
      </c>
      <c r="AS14" s="12">
        <f t="shared" ca="1" si="1"/>
        <v>4204528.4234143589</v>
      </c>
      <c r="AT14" s="12">
        <f t="shared" ca="1" si="1"/>
        <v>4642587.596917294</v>
      </c>
      <c r="AU14" s="12">
        <f t="shared" ca="1" si="1"/>
        <v>4884889.3999115592</v>
      </c>
      <c r="AV14" s="12">
        <f t="shared" ca="1" si="1"/>
        <v>5287115.4335942166</v>
      </c>
      <c r="AW14" s="12">
        <f t="shared" ca="1" si="1"/>
        <v>5847560.6963013588</v>
      </c>
      <c r="AX14" s="12">
        <f t="shared" ca="1" si="1"/>
        <v>6216892.5298779448</v>
      </c>
      <c r="AY14" s="12">
        <f t="shared" ca="1" si="1"/>
        <v>6736004.4846583605</v>
      </c>
      <c r="AZ14" s="12">
        <f t="shared" ca="1" si="1"/>
        <v>7235293.96488644</v>
      </c>
      <c r="BA14" s="12">
        <f t="shared" ca="1" si="1"/>
        <v>7722579.5695250602</v>
      </c>
      <c r="BB14" s="12">
        <f t="shared" ca="1" si="1"/>
        <v>8173961.4834066592</v>
      </c>
      <c r="BC14" s="12">
        <f t="shared" ca="1" si="1"/>
        <v>8784196.8606476039</v>
      </c>
      <c r="BD14" s="12">
        <f t="shared" ca="1" si="1"/>
        <v>9356767.6839491166</v>
      </c>
      <c r="BE14" s="12">
        <f t="shared" ca="1" si="1"/>
        <v>10086275.853174651</v>
      </c>
      <c r="BF14" s="12">
        <f t="shared" ca="1" si="1"/>
        <v>10749289.965554396</v>
      </c>
      <c r="BG14" s="12">
        <f t="shared" ca="1" si="1"/>
        <v>11385997.738209594</v>
      </c>
      <c r="BH14" s="12">
        <f t="shared" ca="1" si="1"/>
        <v>12167553.972241577</v>
      </c>
      <c r="BI14" s="12">
        <f t="shared" ca="1" si="1"/>
        <v>12901692.914145119</v>
      </c>
      <c r="BJ14" s="12">
        <f t="shared" ca="1" si="1"/>
        <v>13722169.081298295</v>
      </c>
      <c r="BK14" s="12">
        <f t="shared" ca="1" si="1"/>
        <v>14502122.157525789</v>
      </c>
      <c r="BL14" s="12">
        <f t="shared" ca="1" si="1"/>
        <v>15418175.543211546</v>
      </c>
      <c r="BM14" s="12">
        <f t="shared" ca="1" si="1"/>
        <v>16217309.252488783</v>
      </c>
      <c r="BN14" s="12">
        <f t="shared" ca="1" si="1"/>
        <v>17158718.913585316</v>
      </c>
      <c r="BO14" s="12">
        <f t="shared" ca="1" si="1"/>
        <v>18214442.211917989</v>
      </c>
      <c r="BP14" s="12">
        <f t="shared" ca="1" si="1"/>
        <v>19230521.358521014</v>
      </c>
      <c r="BQ14" s="12">
        <f t="shared" ca="1" si="1"/>
        <v>20356308.530305412</v>
      </c>
    </row>
    <row r="16" spans="1:6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0</v>
      </c>
      <c r="I16" s="17">
        <f xml:space="preserve"> 'Supply Chain finance'!I$42</f>
        <v>0</v>
      </c>
      <c r="J16" s="10">
        <f>'Supply Chain finance'!J$42</f>
        <v>0</v>
      </c>
      <c r="K16" s="10">
        <f ca="1">'Supply Chain finance'!K$42</f>
        <v>0</v>
      </c>
      <c r="L16" s="10">
        <f ca="1">'Supply Chain finance'!L$42</f>
        <v>0</v>
      </c>
      <c r="M16" s="10">
        <f ca="1">'Supply Chain finance'!M$42</f>
        <v>0</v>
      </c>
      <c r="N16" s="10">
        <f ca="1">'Supply Chain finance'!N$42</f>
        <v>0</v>
      </c>
      <c r="O16" s="10">
        <f ca="1">'Supply Chain finance'!O$42</f>
        <v>0</v>
      </c>
      <c r="P16" s="10">
        <f ca="1">'Supply Chain finance'!P$42</f>
        <v>0</v>
      </c>
      <c r="Q16" s="10">
        <f ca="1">'Supply Chain finance'!Q$42</f>
        <v>0</v>
      </c>
      <c r="R16" s="10">
        <f ca="1">'Supply Chain finance'!R$42</f>
        <v>0</v>
      </c>
      <c r="S16" s="10">
        <f ca="1">'Supply Chain finance'!S$42</f>
        <v>0</v>
      </c>
      <c r="T16" s="10">
        <f ca="1">'Supply Chain finance'!T$42</f>
        <v>0</v>
      </c>
      <c r="U16" s="10">
        <f ca="1">'Supply Chain finance'!U$42</f>
        <v>0</v>
      </c>
      <c r="V16" s="10">
        <f ca="1">'Supply Chain finance'!V$42</f>
        <v>0</v>
      </c>
      <c r="W16" s="10">
        <f ca="1">'Supply Chain finance'!W$42</f>
        <v>0</v>
      </c>
      <c r="X16" s="10">
        <f ca="1">'Supply Chain finance'!X$42</f>
        <v>0</v>
      </c>
      <c r="Y16" s="10">
        <f ca="1">'Supply Chain finance'!Y$42</f>
        <v>0</v>
      </c>
      <c r="Z16" s="10">
        <f ca="1">'Supply Chain finance'!Z$42</f>
        <v>0</v>
      </c>
      <c r="AA16" s="10">
        <f ca="1">'Supply Chain finance'!AA$42</f>
        <v>0</v>
      </c>
      <c r="AB16" s="10">
        <f ca="1">'Supply Chain finance'!AB$42</f>
        <v>0</v>
      </c>
      <c r="AC16" s="10">
        <f ca="1">'Supply Chain finance'!AC$42</f>
        <v>0</v>
      </c>
      <c r="AD16" s="10">
        <f ca="1">'Supply Chain finance'!AD$42</f>
        <v>0</v>
      </c>
      <c r="AE16" s="10">
        <f ca="1">'Supply Chain finance'!AE$42</f>
        <v>0</v>
      </c>
      <c r="AF16" s="10">
        <f ca="1">'Supply Chain finance'!AF$42</f>
        <v>0</v>
      </c>
      <c r="AG16" s="10">
        <f ca="1">'Supply Chain finance'!AG$42</f>
        <v>0</v>
      </c>
      <c r="AH16" s="10">
        <f ca="1">'Supply Chain finance'!AH$42</f>
        <v>0</v>
      </c>
      <c r="AI16" s="10">
        <f ca="1">'Supply Chain finance'!AI$42</f>
        <v>0</v>
      </c>
      <c r="AJ16" s="10">
        <f ca="1">'Supply Chain finance'!AJ$42</f>
        <v>0</v>
      </c>
      <c r="AK16" s="10">
        <f ca="1">'Supply Chain finance'!AK$42</f>
        <v>0</v>
      </c>
      <c r="AL16" s="10">
        <f ca="1">'Supply Chain finance'!AL$42</f>
        <v>0</v>
      </c>
      <c r="AM16" s="10">
        <f ca="1">'Supply Chain finance'!AM$42</f>
        <v>0</v>
      </c>
      <c r="AN16" s="10">
        <f ca="1">'Supply Chain finance'!AN$42</f>
        <v>0</v>
      </c>
      <c r="AO16" s="10">
        <f ca="1">'Supply Chain finance'!AO$42</f>
        <v>0</v>
      </c>
      <c r="AP16" s="10">
        <f ca="1">'Supply Chain finance'!AP$42</f>
        <v>0</v>
      </c>
      <c r="AQ16" s="10">
        <f ca="1">'Supply Chain finance'!AQ$42</f>
        <v>0</v>
      </c>
      <c r="AR16" s="10">
        <f ca="1">'Supply Chain finance'!AR$42</f>
        <v>0</v>
      </c>
      <c r="AS16" s="10">
        <f ca="1">'Supply Chain finance'!AS$42</f>
        <v>0</v>
      </c>
      <c r="AT16" s="10">
        <f ca="1">'Supply Chain finance'!AT$42</f>
        <v>0</v>
      </c>
      <c r="AU16" s="10">
        <f ca="1">'Supply Chain finance'!AU$42</f>
        <v>0</v>
      </c>
      <c r="AV16" s="10">
        <f ca="1">'Supply Chain finance'!AV$42</f>
        <v>0</v>
      </c>
      <c r="AW16" s="10">
        <f ca="1">'Supply Chain finance'!AW$42</f>
        <v>0</v>
      </c>
      <c r="AX16" s="10">
        <f ca="1">'Supply Chain finance'!AX$42</f>
        <v>0</v>
      </c>
      <c r="AY16" s="10">
        <f ca="1">'Supply Chain finance'!AY$42</f>
        <v>0</v>
      </c>
      <c r="AZ16" s="10">
        <f ca="1">'Supply Chain finance'!AZ$42</f>
        <v>0</v>
      </c>
      <c r="BA16" s="10">
        <f ca="1">'Supply Chain finance'!BA$42</f>
        <v>0</v>
      </c>
      <c r="BB16" s="10">
        <f ca="1">'Supply Chain finance'!BB$42</f>
        <v>0</v>
      </c>
      <c r="BC16" s="10">
        <f ca="1">'Supply Chain finance'!BC$42</f>
        <v>0</v>
      </c>
      <c r="BD16" s="10">
        <f ca="1">'Supply Chain finance'!BD$42</f>
        <v>0</v>
      </c>
      <c r="BE16" s="10">
        <f ca="1">'Supply Chain finance'!BE$42</f>
        <v>0</v>
      </c>
      <c r="BF16" s="10">
        <f ca="1">'Supply Chain finance'!BF$42</f>
        <v>0</v>
      </c>
      <c r="BG16" s="10">
        <f ca="1">'Supply Chain finance'!BG$42</f>
        <v>0</v>
      </c>
      <c r="BH16" s="10">
        <f ca="1">'Supply Chain finance'!BH$42</f>
        <v>0</v>
      </c>
      <c r="BI16" s="10">
        <f ca="1">'Supply Chain finance'!BI$42</f>
        <v>0</v>
      </c>
      <c r="BJ16" s="10">
        <f ca="1">'Supply Chain finance'!BJ$42</f>
        <v>0</v>
      </c>
      <c r="BK16" s="10">
        <f ca="1">'Supply Chain finance'!BK$42</f>
        <v>0</v>
      </c>
      <c r="BL16" s="10">
        <f ca="1">'Supply Chain finance'!BL$42</f>
        <v>0</v>
      </c>
      <c r="BM16" s="10">
        <f ca="1">'Supply Chain finance'!BM$42</f>
        <v>0</v>
      </c>
      <c r="BN16" s="10">
        <f ca="1">'Supply Chain finance'!BN$42</f>
        <v>0</v>
      </c>
      <c r="BO16" s="10">
        <f ca="1">'Supply Chain finance'!BO$42</f>
        <v>0</v>
      </c>
      <c r="BP16" s="10">
        <f ca="1">'Supply Chain finance'!BP$42</f>
        <v>0</v>
      </c>
      <c r="BQ16" s="10">
        <f ca="1">'Supply Chain finance'!BQ$42</f>
        <v>0</v>
      </c>
    </row>
    <row r="17" spans="5:69">
      <c r="E17" s="17" t="str">
        <f xml:space="preserve"> 'Invoice finance'!E$41</f>
        <v xml:space="preserve">Invoice finance interest </v>
      </c>
      <c r="F17" s="17">
        <f xml:space="preserve"> 'Invoice finance'!F$41</f>
        <v>0</v>
      </c>
      <c r="G17" s="17" t="str">
        <f xml:space="preserve"> 'Invoice finance'!G$41</f>
        <v>GBP</v>
      </c>
      <c r="H17" s="44">
        <f ca="1" xml:space="preserve"> 'Invoice finance'!H$41</f>
        <v>0</v>
      </c>
      <c r="I17" s="17">
        <f xml:space="preserve"> 'Invoice finance'!I$41</f>
        <v>0</v>
      </c>
      <c r="J17" s="10">
        <f>'Invoice finance'!J$41</f>
        <v>0</v>
      </c>
      <c r="K17" s="10">
        <f ca="1">'Invoice finance'!K$41</f>
        <v>0</v>
      </c>
      <c r="L17" s="10">
        <f ca="1">'Invoice finance'!L$41</f>
        <v>0</v>
      </c>
      <c r="M17" s="10">
        <f ca="1">'Invoice finance'!M$41</f>
        <v>0</v>
      </c>
      <c r="N17" s="10">
        <f ca="1">'Invoice finance'!N$41</f>
        <v>0</v>
      </c>
      <c r="O17" s="10">
        <f ca="1">'Invoice finance'!O$41</f>
        <v>0</v>
      </c>
      <c r="P17" s="10">
        <f ca="1">'Invoice finance'!P$41</f>
        <v>0</v>
      </c>
      <c r="Q17" s="10">
        <f ca="1">'Invoice finance'!Q$41</f>
        <v>0</v>
      </c>
      <c r="R17" s="10">
        <f ca="1">'Invoice finance'!R$41</f>
        <v>0</v>
      </c>
      <c r="S17" s="10">
        <f ca="1">'Invoice finance'!S$41</f>
        <v>0</v>
      </c>
      <c r="T17" s="10">
        <f ca="1">'Invoice finance'!T$41</f>
        <v>0</v>
      </c>
      <c r="U17" s="10">
        <f ca="1">'Invoice finance'!U$41</f>
        <v>0</v>
      </c>
      <c r="V17" s="10">
        <f ca="1">'Invoice finance'!V$41</f>
        <v>0</v>
      </c>
      <c r="W17" s="10">
        <f ca="1">'Invoice finance'!W$41</f>
        <v>0</v>
      </c>
      <c r="X17" s="10">
        <f ca="1">'Invoice finance'!X$41</f>
        <v>0</v>
      </c>
      <c r="Y17" s="10">
        <f ca="1">'Invoice finance'!Y$41</f>
        <v>0</v>
      </c>
      <c r="Z17" s="10">
        <f ca="1">'Invoice finance'!Z$41</f>
        <v>0</v>
      </c>
      <c r="AA17" s="10">
        <f ca="1">'Invoice finance'!AA$41</f>
        <v>0</v>
      </c>
      <c r="AB17" s="10">
        <f ca="1">'Invoice finance'!AB$41</f>
        <v>0</v>
      </c>
      <c r="AC17" s="10">
        <f ca="1">'Invoice finance'!AC$41</f>
        <v>0</v>
      </c>
      <c r="AD17" s="10">
        <f ca="1">'Invoice finance'!AD$41</f>
        <v>0</v>
      </c>
      <c r="AE17" s="10">
        <f ca="1">'Invoice finance'!AE$41</f>
        <v>0</v>
      </c>
      <c r="AF17" s="10">
        <f ca="1">'Invoice finance'!AF$41</f>
        <v>0</v>
      </c>
      <c r="AG17" s="10">
        <f ca="1">'Invoice finance'!AG$41</f>
        <v>0</v>
      </c>
      <c r="AH17" s="10">
        <f ca="1">'Invoice finance'!AH$41</f>
        <v>0</v>
      </c>
      <c r="AI17" s="10">
        <f ca="1">'Invoice finance'!AI$41</f>
        <v>0</v>
      </c>
      <c r="AJ17" s="10">
        <f ca="1">'Invoice finance'!AJ$41</f>
        <v>0</v>
      </c>
      <c r="AK17" s="10">
        <f ca="1">'Invoice finance'!AK$41</f>
        <v>0</v>
      </c>
      <c r="AL17" s="10">
        <f ca="1">'Invoice finance'!AL$41</f>
        <v>0</v>
      </c>
      <c r="AM17" s="10">
        <f ca="1">'Invoice finance'!AM$41</f>
        <v>0</v>
      </c>
      <c r="AN17" s="10">
        <f ca="1">'Invoice finance'!AN$41</f>
        <v>0</v>
      </c>
      <c r="AO17" s="10">
        <f ca="1">'Invoice finance'!AO$41</f>
        <v>0</v>
      </c>
      <c r="AP17" s="10">
        <f ca="1">'Invoice finance'!AP$41</f>
        <v>0</v>
      </c>
      <c r="AQ17" s="10">
        <f ca="1">'Invoice finance'!AQ$41</f>
        <v>0</v>
      </c>
      <c r="AR17" s="10">
        <f ca="1">'Invoice finance'!AR$41</f>
        <v>0</v>
      </c>
      <c r="AS17" s="10">
        <f ca="1">'Invoice finance'!AS$41</f>
        <v>0</v>
      </c>
      <c r="AT17" s="10">
        <f ca="1">'Invoice finance'!AT$41</f>
        <v>0</v>
      </c>
      <c r="AU17" s="10">
        <f ca="1">'Invoice finance'!AU$41</f>
        <v>0</v>
      </c>
      <c r="AV17" s="10">
        <f ca="1">'Invoice finance'!AV$41</f>
        <v>0</v>
      </c>
      <c r="AW17" s="10">
        <f ca="1">'Invoice finance'!AW$41</f>
        <v>0</v>
      </c>
      <c r="AX17" s="10">
        <f ca="1">'Invoice finance'!AX$41</f>
        <v>0</v>
      </c>
      <c r="AY17" s="10">
        <f ca="1">'Invoice finance'!AY$41</f>
        <v>0</v>
      </c>
      <c r="AZ17" s="10">
        <f ca="1">'Invoice finance'!AZ$41</f>
        <v>0</v>
      </c>
      <c r="BA17" s="10">
        <f ca="1">'Invoice finance'!BA$41</f>
        <v>0</v>
      </c>
      <c r="BB17" s="10">
        <f ca="1">'Invoice finance'!BB$41</f>
        <v>0</v>
      </c>
      <c r="BC17" s="10">
        <f ca="1">'Invoice finance'!BC$41</f>
        <v>0</v>
      </c>
      <c r="BD17" s="10">
        <f ca="1">'Invoice finance'!BD$41</f>
        <v>0</v>
      </c>
      <c r="BE17" s="10">
        <f ca="1">'Invoice finance'!BE$41</f>
        <v>0</v>
      </c>
      <c r="BF17" s="10">
        <f ca="1">'Invoice finance'!BF$41</f>
        <v>0</v>
      </c>
      <c r="BG17" s="10">
        <f ca="1">'Invoice finance'!BG$41</f>
        <v>0</v>
      </c>
      <c r="BH17" s="10">
        <f ca="1">'Invoice finance'!BH$41</f>
        <v>0</v>
      </c>
      <c r="BI17" s="10">
        <f ca="1">'Invoice finance'!BI$41</f>
        <v>0</v>
      </c>
      <c r="BJ17" s="10">
        <f ca="1">'Invoice finance'!BJ$41</f>
        <v>0</v>
      </c>
      <c r="BK17" s="10">
        <f ca="1">'Invoice finance'!BK$41</f>
        <v>0</v>
      </c>
      <c r="BL17" s="10">
        <f ca="1">'Invoice finance'!BL$41</f>
        <v>0</v>
      </c>
      <c r="BM17" s="10">
        <f ca="1">'Invoice finance'!BM$41</f>
        <v>0</v>
      </c>
      <c r="BN17" s="10">
        <f ca="1">'Invoice finance'!BN$41</f>
        <v>0</v>
      </c>
      <c r="BO17" s="10">
        <f ca="1">'Invoice finance'!BO$41</f>
        <v>0</v>
      </c>
      <c r="BP17" s="10">
        <f ca="1">'Invoice finance'!BP$41</f>
        <v>0</v>
      </c>
      <c r="BQ17" s="10">
        <f ca="1">'Invoice finance'!BQ$41</f>
        <v>0</v>
      </c>
    </row>
    <row r="18" spans="5:69">
      <c r="E18" s="17" t="str">
        <f xml:space="preserve"> 'Asset Finance'!E$42</f>
        <v xml:space="preserve">Asset Finance interest </v>
      </c>
      <c r="F18" s="17">
        <f xml:space="preserve"> 'Asset Finance'!F$42</f>
        <v>0</v>
      </c>
      <c r="G18" s="17" t="str">
        <f xml:space="preserve"> 'Asset Finance'!G$42</f>
        <v>GBP</v>
      </c>
      <c r="H18" s="44">
        <f ca="1" xml:space="preserve"> 'Asset Finance'!H$42</f>
        <v>0</v>
      </c>
      <c r="I18" s="17">
        <f xml:space="preserve"> 'Asset Finance'!I$42</f>
        <v>0</v>
      </c>
      <c r="J18" s="10">
        <f>'Asset Finance'!J$42</f>
        <v>0</v>
      </c>
      <c r="K18" s="10">
        <f ca="1">'Asset Finance'!K$42</f>
        <v>0</v>
      </c>
      <c r="L18" s="10">
        <f ca="1">'Asset Finance'!L$42</f>
        <v>0</v>
      </c>
      <c r="M18" s="10">
        <f ca="1">'Asset Finance'!M$42</f>
        <v>0</v>
      </c>
      <c r="N18" s="10">
        <f ca="1">'Asset Finance'!N$42</f>
        <v>0</v>
      </c>
      <c r="O18" s="10">
        <f ca="1">'Asset Finance'!O$42</f>
        <v>0</v>
      </c>
      <c r="P18" s="10">
        <f ca="1">'Asset Finance'!P$42</f>
        <v>0</v>
      </c>
      <c r="Q18" s="10">
        <f ca="1">'Asset Finance'!Q$42</f>
        <v>0</v>
      </c>
      <c r="R18" s="10">
        <f ca="1">'Asset Finance'!R$42</f>
        <v>0</v>
      </c>
      <c r="S18" s="10">
        <f ca="1">'Asset Finance'!S$42</f>
        <v>0</v>
      </c>
      <c r="T18" s="10">
        <f ca="1">'Asset Finance'!T$42</f>
        <v>0</v>
      </c>
      <c r="U18" s="10">
        <f ca="1">'Asset Finance'!U$42</f>
        <v>0</v>
      </c>
      <c r="V18" s="10">
        <f ca="1">'Asset Finance'!V$42</f>
        <v>0</v>
      </c>
      <c r="W18" s="10">
        <f ca="1">'Asset Finance'!W$42</f>
        <v>0</v>
      </c>
      <c r="X18" s="10">
        <f ca="1">'Asset Finance'!X$42</f>
        <v>0</v>
      </c>
      <c r="Y18" s="10">
        <f ca="1">'Asset Finance'!Y$42</f>
        <v>0</v>
      </c>
      <c r="Z18" s="10">
        <f ca="1">'Asset Finance'!Z$42</f>
        <v>0</v>
      </c>
      <c r="AA18" s="10">
        <f ca="1">'Asset Finance'!AA$42</f>
        <v>0</v>
      </c>
      <c r="AB18" s="10">
        <f ca="1">'Asset Finance'!AB$42</f>
        <v>0</v>
      </c>
      <c r="AC18" s="10">
        <f ca="1">'Asset Finance'!AC$42</f>
        <v>0</v>
      </c>
      <c r="AD18" s="10">
        <f ca="1">'Asset Finance'!AD$42</f>
        <v>0</v>
      </c>
      <c r="AE18" s="10">
        <f ca="1">'Asset Finance'!AE$42</f>
        <v>0</v>
      </c>
      <c r="AF18" s="10">
        <f ca="1">'Asset Finance'!AF$42</f>
        <v>0</v>
      </c>
      <c r="AG18" s="10">
        <f ca="1">'Asset Finance'!AG$42</f>
        <v>0</v>
      </c>
      <c r="AH18" s="10">
        <f ca="1">'Asset Finance'!AH$42</f>
        <v>0</v>
      </c>
      <c r="AI18" s="10">
        <f ca="1">'Asset Finance'!AI$42</f>
        <v>0</v>
      </c>
      <c r="AJ18" s="10">
        <f ca="1">'Asset Finance'!AJ$42</f>
        <v>0</v>
      </c>
      <c r="AK18" s="10">
        <f ca="1">'Asset Finance'!AK$42</f>
        <v>0</v>
      </c>
      <c r="AL18" s="10">
        <f ca="1">'Asset Finance'!AL$42</f>
        <v>0</v>
      </c>
      <c r="AM18" s="10">
        <f ca="1">'Asset Finance'!AM$42</f>
        <v>0</v>
      </c>
      <c r="AN18" s="10">
        <f ca="1">'Asset Finance'!AN$42</f>
        <v>0</v>
      </c>
      <c r="AO18" s="10">
        <f ca="1">'Asset Finance'!AO$42</f>
        <v>0</v>
      </c>
      <c r="AP18" s="10">
        <f ca="1">'Asset Finance'!AP$42</f>
        <v>0</v>
      </c>
      <c r="AQ18" s="10">
        <f ca="1">'Asset Finance'!AQ$42</f>
        <v>0</v>
      </c>
      <c r="AR18" s="10">
        <f ca="1">'Asset Finance'!AR$42</f>
        <v>0</v>
      </c>
      <c r="AS18" s="10">
        <f ca="1">'Asset Finance'!AS$42</f>
        <v>0</v>
      </c>
      <c r="AT18" s="10">
        <f ca="1">'Asset Finance'!AT$42</f>
        <v>0</v>
      </c>
      <c r="AU18" s="10">
        <f ca="1">'Asset Finance'!AU$42</f>
        <v>0</v>
      </c>
      <c r="AV18" s="10">
        <f ca="1">'Asset Finance'!AV$42</f>
        <v>0</v>
      </c>
      <c r="AW18" s="10">
        <f ca="1">'Asset Finance'!AW$42</f>
        <v>0</v>
      </c>
      <c r="AX18" s="10">
        <f ca="1">'Asset Finance'!AX$42</f>
        <v>0</v>
      </c>
      <c r="AY18" s="10">
        <f ca="1">'Asset Finance'!AY$42</f>
        <v>0</v>
      </c>
      <c r="AZ18" s="10">
        <f ca="1">'Asset Finance'!AZ$42</f>
        <v>0</v>
      </c>
      <c r="BA18" s="10">
        <f ca="1">'Asset Finance'!BA$42</f>
        <v>0</v>
      </c>
      <c r="BB18" s="10">
        <f ca="1">'Asset Finance'!BB$42</f>
        <v>0</v>
      </c>
      <c r="BC18" s="10">
        <f ca="1">'Asset Finance'!BC$42</f>
        <v>0</v>
      </c>
      <c r="BD18" s="10">
        <f ca="1">'Asset Finance'!BD$42</f>
        <v>0</v>
      </c>
      <c r="BE18" s="10">
        <f ca="1">'Asset Finance'!BE$42</f>
        <v>0</v>
      </c>
      <c r="BF18" s="10">
        <f ca="1">'Asset Finance'!BF$42</f>
        <v>0</v>
      </c>
      <c r="BG18" s="10">
        <f ca="1">'Asset Finance'!BG$42</f>
        <v>0</v>
      </c>
      <c r="BH18" s="10">
        <f ca="1">'Asset Finance'!BH$42</f>
        <v>0</v>
      </c>
      <c r="BI18" s="10">
        <f ca="1">'Asset Finance'!BI$42</f>
        <v>0</v>
      </c>
      <c r="BJ18" s="10">
        <f ca="1">'Asset Finance'!BJ$42</f>
        <v>0</v>
      </c>
      <c r="BK18" s="10">
        <f ca="1">'Asset Finance'!BK$42</f>
        <v>0</v>
      </c>
      <c r="BL18" s="10">
        <f ca="1">'Asset Finance'!BL$42</f>
        <v>0</v>
      </c>
      <c r="BM18" s="10">
        <f ca="1">'Asset Finance'!BM$42</f>
        <v>0</v>
      </c>
      <c r="BN18" s="10">
        <f ca="1">'Asset Finance'!BN$42</f>
        <v>0</v>
      </c>
      <c r="BO18" s="10">
        <f ca="1">'Asset Finance'!BO$42</f>
        <v>0</v>
      </c>
      <c r="BP18" s="10">
        <f ca="1">'Asset Finance'!BP$42</f>
        <v>0</v>
      </c>
      <c r="BQ18" s="10">
        <f ca="1">'Asset Finance'!BQ$42</f>
        <v>0</v>
      </c>
    </row>
    <row r="19" spans="5:69">
      <c r="E19" s="12" t="s">
        <v>181</v>
      </c>
      <c r="F19" s="30"/>
      <c r="G19" s="12" t="s">
        <v>257</v>
      </c>
      <c r="H19" s="54">
        <f ca="1" xml:space="preserve"> SUM( J19:BQ19 )</f>
        <v>323600885.07615185</v>
      </c>
      <c r="I19" s="30"/>
      <c r="J19" s="12">
        <f t="shared" ref="J19:BQ19" ca="1" si="2" xml:space="preserve"> J14 + SUM( J16:J18 )</f>
        <v>-67000</v>
      </c>
      <c r="K19" s="12">
        <f t="shared" ca="1" si="2"/>
        <v>-74291.666666666672</v>
      </c>
      <c r="L19" s="12">
        <f t="shared" ca="1" si="2"/>
        <v>10291.666666666668</v>
      </c>
      <c r="M19" s="12">
        <f t="shared" ca="1" si="2"/>
        <v>44683.809815321147</v>
      </c>
      <c r="N19" s="12">
        <f t="shared" ca="1" si="2"/>
        <v>-4316.1901846788505</v>
      </c>
      <c r="O19" s="12">
        <f t="shared" ca="1" si="2"/>
        <v>1517.1431486544825</v>
      </c>
      <c r="P19" s="12">
        <f t="shared" ca="1" si="2"/>
        <v>190477.84003257321</v>
      </c>
      <c r="Q19" s="12">
        <f t="shared" ca="1" si="2"/>
        <v>196894.50669923986</v>
      </c>
      <c r="R19" s="12">
        <f t="shared" ca="1" si="2"/>
        <v>281477.84003257315</v>
      </c>
      <c r="S19" s="12">
        <f t="shared" ca="1" si="2"/>
        <v>251673.39796322494</v>
      </c>
      <c r="T19" s="12">
        <f t="shared" ca="1" si="2"/>
        <v>601673.39796322491</v>
      </c>
      <c r="U19" s="12">
        <f t="shared" ca="1" si="2"/>
        <v>587090.06462989165</v>
      </c>
      <c r="V19" s="12">
        <f t="shared" ca="1" si="2"/>
        <v>909387.75018454797</v>
      </c>
      <c r="W19" s="12">
        <f t="shared" ca="1" si="2"/>
        <v>1186564.0113679084</v>
      </c>
      <c r="X19" s="12">
        <f t="shared" ca="1" si="2"/>
        <v>1224849.8391827617</v>
      </c>
      <c r="Y19" s="12">
        <f t="shared" ca="1" si="2"/>
        <v>1554276.6682840942</v>
      </c>
      <c r="Z19" s="12">
        <f t="shared" ca="1" si="2"/>
        <v>1543595.5742938174</v>
      </c>
      <c r="AA19" s="12">
        <f t="shared" ca="1" si="2"/>
        <v>1534218.7622378413</v>
      </c>
      <c r="AB19" s="12">
        <f t="shared" ca="1" si="2"/>
        <v>1508583.438948632</v>
      </c>
      <c r="AC19" s="12">
        <f t="shared" ca="1" si="2"/>
        <v>1497165.3708460801</v>
      </c>
      <c r="AD19" s="12">
        <f t="shared" ca="1" si="2"/>
        <v>1462759.7640195086</v>
      </c>
      <c r="AE19" s="12">
        <f t="shared" ca="1" si="2"/>
        <v>1616055.9124375498</v>
      </c>
      <c r="AF19" s="12">
        <f t="shared" ca="1" si="2"/>
        <v>1761514.4960635144</v>
      </c>
      <c r="AG19" s="12">
        <f t="shared" ca="1" si="2"/>
        <v>1898358.3740564925</v>
      </c>
      <c r="AH19" s="12">
        <f t="shared" ca="1" si="2"/>
        <v>2142597.8696589647</v>
      </c>
      <c r="AI19" s="12">
        <f t="shared" ca="1" si="2"/>
        <v>2250304.9756665984</v>
      </c>
      <c r="AJ19" s="12">
        <f t="shared" ca="1" si="2"/>
        <v>2524147.047655392</v>
      </c>
      <c r="AK19" s="12">
        <f t="shared" ca="1" si="2"/>
        <v>2627878.9701409945</v>
      </c>
      <c r="AL19" s="12">
        <f t="shared" ca="1" si="2"/>
        <v>2752688.0723454268</v>
      </c>
      <c r="AM19" s="12">
        <f t="shared" ca="1" si="2"/>
        <v>2961434.448233474</v>
      </c>
      <c r="AN19" s="12">
        <f t="shared" ca="1" si="2"/>
        <v>3152862.4287613113</v>
      </c>
      <c r="AO19" s="12">
        <f t="shared" ca="1" si="2"/>
        <v>3204634.6258895406</v>
      </c>
      <c r="AP19" s="12">
        <f t="shared" ca="1" si="2"/>
        <v>3514990.0789030646</v>
      </c>
      <c r="AQ19" s="12">
        <f t="shared" ca="1" si="2"/>
        <v>3625340.1668431396</v>
      </c>
      <c r="AR19" s="12">
        <f t="shared" ca="1" si="2"/>
        <v>3923549.0007617353</v>
      </c>
      <c r="AS19" s="12">
        <f t="shared" ca="1" si="2"/>
        <v>4204528.4234143589</v>
      </c>
      <c r="AT19" s="12">
        <f t="shared" ca="1" si="2"/>
        <v>4642587.596917294</v>
      </c>
      <c r="AU19" s="12">
        <f t="shared" ca="1" si="2"/>
        <v>4884889.3999115592</v>
      </c>
      <c r="AV19" s="12">
        <f t="shared" ca="1" si="2"/>
        <v>5287115.4335942166</v>
      </c>
      <c r="AW19" s="12">
        <f t="shared" ca="1" si="2"/>
        <v>5847560.6963013588</v>
      </c>
      <c r="AX19" s="12">
        <f t="shared" ca="1" si="2"/>
        <v>6216892.5298779448</v>
      </c>
      <c r="AY19" s="12">
        <f t="shared" ca="1" si="2"/>
        <v>6736004.4846583605</v>
      </c>
      <c r="AZ19" s="12">
        <f t="shared" ca="1" si="2"/>
        <v>7235293.96488644</v>
      </c>
      <c r="BA19" s="12">
        <f t="shared" ca="1" si="2"/>
        <v>7722579.5695250602</v>
      </c>
      <c r="BB19" s="12">
        <f t="shared" ca="1" si="2"/>
        <v>8173961.4834066592</v>
      </c>
      <c r="BC19" s="12">
        <f t="shared" ca="1" si="2"/>
        <v>8784196.8606476039</v>
      </c>
      <c r="BD19" s="12">
        <f t="shared" ca="1" si="2"/>
        <v>9356767.6839491166</v>
      </c>
      <c r="BE19" s="12">
        <f t="shared" ca="1" si="2"/>
        <v>10086275.853174651</v>
      </c>
      <c r="BF19" s="12">
        <f t="shared" ca="1" si="2"/>
        <v>10749289.965554396</v>
      </c>
      <c r="BG19" s="12">
        <f t="shared" ca="1" si="2"/>
        <v>11385997.738209594</v>
      </c>
      <c r="BH19" s="12">
        <f t="shared" ca="1" si="2"/>
        <v>12167553.972241577</v>
      </c>
      <c r="BI19" s="12">
        <f t="shared" ca="1" si="2"/>
        <v>12901692.914145119</v>
      </c>
      <c r="BJ19" s="12">
        <f t="shared" ca="1" si="2"/>
        <v>13722169.081298295</v>
      </c>
      <c r="BK19" s="12">
        <f t="shared" ca="1" si="2"/>
        <v>14502122.157525789</v>
      </c>
      <c r="BL19" s="12">
        <f t="shared" ca="1" si="2"/>
        <v>15418175.543211546</v>
      </c>
      <c r="BM19" s="12">
        <f t="shared" ca="1" si="2"/>
        <v>16217309.252488783</v>
      </c>
      <c r="BN19" s="12">
        <f t="shared" ca="1" si="2"/>
        <v>17158718.913585316</v>
      </c>
      <c r="BO19" s="12">
        <f t="shared" ca="1" si="2"/>
        <v>18214442.211917989</v>
      </c>
      <c r="BP19" s="12">
        <f t="shared" ca="1" si="2"/>
        <v>19230521.358521014</v>
      </c>
      <c r="BQ19" s="12">
        <f t="shared" ca="1" si="2"/>
        <v>20356308.530305412</v>
      </c>
    </row>
    <row r="21" spans="5:69">
      <c r="E21" s="17" t="str">
        <f xml:space="preserve"> 'Corporation tax'!E$48</f>
        <v xml:space="preserve">Corporation tax </v>
      </c>
      <c r="F21" s="17">
        <f xml:space="preserve"> 'Corporation tax'!F$48</f>
        <v>0</v>
      </c>
      <c r="G21" s="17" t="str">
        <f xml:space="preserve"> 'Corporation tax'!G$48</f>
        <v>GBP</v>
      </c>
      <c r="H21" s="44">
        <f ca="1" xml:space="preserve"> 'Corporation tax'!H$48</f>
        <v>-68118879.460795701</v>
      </c>
      <c r="I21" s="17">
        <f xml:space="preserve"> 'Corporation tax'!I$48</f>
        <v>0</v>
      </c>
      <c r="J21" s="10">
        <f ca="1">'Corporation tax'!J$48</f>
        <v>0</v>
      </c>
      <c r="K21" s="10">
        <f ca="1">'Corporation tax'!K$48</f>
        <v>0</v>
      </c>
      <c r="L21" s="10">
        <f ca="1">'Corporation tax'!L$48</f>
        <v>0</v>
      </c>
      <c r="M21" s="10">
        <f ca="1">'Corporation tax'!M$48</f>
        <v>0</v>
      </c>
      <c r="N21" s="10">
        <f ca="1">'Corporation tax'!N$48</f>
        <v>0</v>
      </c>
      <c r="O21" s="10">
        <f ca="1">'Corporation tax'!O$48</f>
        <v>0</v>
      </c>
      <c r="P21" s="10">
        <f ca="1">'Corporation tax'!P$48</f>
        <v>-36589.187229040661</v>
      </c>
      <c r="Q21" s="10">
        <f ca="1">'Corporation tax'!Q$48</f>
        <v>-43753.901339847973</v>
      </c>
      <c r="R21" s="10">
        <f ca="1">'Corporation tax'!R$48</f>
        <v>-57753.901339847973</v>
      </c>
      <c r="S21" s="10">
        <f ca="1">'Corporation tax'!S$48</f>
        <v>-57626.346259311656</v>
      </c>
      <c r="T21" s="10">
        <f ca="1">'Corporation tax'!T$48</f>
        <v>-127626.34625931166</v>
      </c>
      <c r="U21" s="10">
        <f ca="1">'Corporation tax'!U$48</f>
        <v>-127626.34625931166</v>
      </c>
      <c r="V21" s="10">
        <f ca="1">'Corporation tax'!V$48</f>
        <v>-195002.55003690961</v>
      </c>
      <c r="W21" s="10">
        <f ca="1">'Corporation tax'!W$48</f>
        <v>-250437.80227358171</v>
      </c>
      <c r="X21" s="10">
        <f ca="1">'Corporation tax'!X$48</f>
        <v>-259553.3011698857</v>
      </c>
      <c r="Y21" s="10">
        <f ca="1">'Corporation tax'!Y$48</f>
        <v>-325438.66699015221</v>
      </c>
      <c r="Z21" s="10">
        <f ca="1">'Corporation tax'!Z$48</f>
        <v>-323302.44819209684</v>
      </c>
      <c r="AA21" s="10">
        <f ca="1">'Corporation tax'!AA$48</f>
        <v>-319968.75244756829</v>
      </c>
      <c r="AB21" s="10">
        <f ca="1">'Corporation tax'!AB$48</f>
        <v>-316300.02112305979</v>
      </c>
      <c r="AC21" s="10">
        <f ca="1">'Corporation tax'!AC$48</f>
        <v>-312558.07416921604</v>
      </c>
      <c r="AD21" s="10">
        <f ca="1">'Corporation tax'!AD$48</f>
        <v>-308593.61947056837</v>
      </c>
      <c r="AE21" s="10">
        <f ca="1">'Corporation tax'!AE$48</f>
        <v>-339252.84915417666</v>
      </c>
      <c r="AF21" s="10">
        <f ca="1">'Corporation tax'!AF$48</f>
        <v>-369802.89921270288</v>
      </c>
      <c r="AG21" s="10">
        <f ca="1">'Corporation tax'!AG$48</f>
        <v>-400088.34147796518</v>
      </c>
      <c r="AH21" s="10">
        <f ca="1">'Corporation tax'!AH$48</f>
        <v>-450394.57393179298</v>
      </c>
      <c r="AI21" s="10">
        <f ca="1">'Corporation tax'!AI$48</f>
        <v>-473102.66179998638</v>
      </c>
      <c r="AJ21" s="10">
        <f ca="1">'Corporation tax'!AJ$48</f>
        <v>-530496.07619774516</v>
      </c>
      <c r="AK21" s="10">
        <f ca="1">'Corporation tax'!AK$48</f>
        <v>-552409.12736153218</v>
      </c>
      <c r="AL21" s="10">
        <f ca="1">'Corporation tax'!AL$48</f>
        <v>-579995.94780241873</v>
      </c>
      <c r="AM21" s="10">
        <f ca="1">'Corporation tax'!AM$48</f>
        <v>-622328.55631336151</v>
      </c>
      <c r="AN21" s="10">
        <f ca="1">'Corporation tax'!AN$48</f>
        <v>-664114.15241892904</v>
      </c>
      <c r="AO21" s="10">
        <f ca="1">'Corporation tax'!AO$48</f>
        <v>-676510.25851124153</v>
      </c>
      <c r="AP21" s="10">
        <f ca="1">'Corporation tax'!AP$48</f>
        <v>-738581.34911394631</v>
      </c>
      <c r="AQ21" s="10">
        <f ca="1">'Corporation tax'!AQ$48</f>
        <v>-765026.36670196126</v>
      </c>
      <c r="AR21" s="10">
        <f ca="1">'Corporation tax'!AR$48</f>
        <v>-826126.46681901382</v>
      </c>
      <c r="AS21" s="10">
        <f ca="1">'Corporation tax'!AS$48</f>
        <v>-886697.35134953842</v>
      </c>
      <c r="AT21" s="10">
        <f ca="1">'Corporation tax'!AT$48</f>
        <v>-977225.85271679226</v>
      </c>
      <c r="AU21" s="10">
        <f ca="1">'Corporation tax'!AU$48</f>
        <v>-1029974.496303038</v>
      </c>
      <c r="AV21" s="10">
        <f ca="1">'Corporation tax'!AV$48</f>
        <v>-1114616.1125524517</v>
      </c>
      <c r="AW21" s="10">
        <f ca="1">'Corporation tax'!AW$48</f>
        <v>-1230804.2380511677</v>
      </c>
      <c r="AX21" s="10">
        <f ca="1">'Corporation tax'!AX$48</f>
        <v>-1308666.5532353884</v>
      </c>
      <c r="AY21" s="10">
        <f ca="1">'Corporation tax'!AY$48</f>
        <v>-1417833.96940414</v>
      </c>
      <c r="AZ21" s="10">
        <f ca="1">'Corporation tax'!AZ$48</f>
        <v>-1522921.1373379619</v>
      </c>
      <c r="BA21" s="10">
        <f ca="1">'Corporation tax'!BA$48</f>
        <v>-1624026.5604452407</v>
      </c>
      <c r="BB21" s="10">
        <f ca="1">'Corporation tax'!BB$48</f>
        <v>-1720737.983354107</v>
      </c>
      <c r="BC21" s="10">
        <f ca="1">'Corporation tax'!BC$48</f>
        <v>-1847624.1109244723</v>
      </c>
      <c r="BD21" s="10">
        <f ca="1">'Corporation tax'!BD$48</f>
        <v>-1969748.1543235325</v>
      </c>
      <c r="BE21" s="10">
        <f ca="1">'Corporation tax'!BE$48</f>
        <v>-2121646.8214233178</v>
      </c>
      <c r="BF21" s="10">
        <f ca="1">'Corporation tax'!BF$48</f>
        <v>-2261541.3105659331</v>
      </c>
      <c r="BG21" s="10">
        <f ca="1">'Corporation tax'!BG$48</f>
        <v>-2395738.5977384252</v>
      </c>
      <c r="BH21" s="10">
        <f ca="1">'Corporation tax'!BH$48</f>
        <v>-2558721.8302372526</v>
      </c>
      <c r="BI21" s="10">
        <f ca="1">'Corporation tax'!BI$48</f>
        <v>-2714943.5978658702</v>
      </c>
      <c r="BJ21" s="10">
        <f ca="1">'Corporation tax'!BJ$48</f>
        <v>-2886768.2282343116</v>
      </c>
      <c r="BK21" s="10">
        <f ca="1">'Corporation tax'!BK$48</f>
        <v>-3051203.0605718144</v>
      </c>
      <c r="BL21" s="10">
        <f ca="1">'Corporation tax'!BL$48</f>
        <v>-3242626.4481520443</v>
      </c>
      <c r="BM21" s="10">
        <f ca="1">'Corporation tax'!BM$48</f>
        <v>-3413337.2943666014</v>
      </c>
      <c r="BN21" s="10">
        <f ca="1">'Corporation tax'!BN$48</f>
        <v>-3610260.140184334</v>
      </c>
      <c r="BO21" s="10">
        <f ca="1">'Corporation tax'!BO$48</f>
        <v>-3832687.0707618888</v>
      </c>
      <c r="BP21" s="10">
        <f ca="1">'Corporation tax'!BP$48</f>
        <v>-4045435.1575600081</v>
      </c>
      <c r="BQ21" s="10">
        <f ca="1">'Corporation tax'!BQ$48</f>
        <v>-4282732.4917595787</v>
      </c>
    </row>
    <row r="22" spans="5:69">
      <c r="E22" s="12" t="s">
        <v>38</v>
      </c>
      <c r="F22" s="30"/>
      <c r="G22" s="12" t="s">
        <v>257</v>
      </c>
      <c r="H22" s="54">
        <f ca="1" xml:space="preserve"> SUM( J22:BQ22 )</f>
        <v>255482005.61535621</v>
      </c>
      <c r="I22" s="30"/>
      <c r="J22" s="12">
        <f t="shared" ref="J22:BQ22" ca="1" si="3" xml:space="preserve"> J19 + J21</f>
        <v>-67000</v>
      </c>
      <c r="K22" s="12">
        <f t="shared" ca="1" si="3"/>
        <v>-74291.666666666672</v>
      </c>
      <c r="L22" s="12">
        <f t="shared" ca="1" si="3"/>
        <v>10291.666666666668</v>
      </c>
      <c r="M22" s="12">
        <f t="shared" ca="1" si="3"/>
        <v>44683.809815321147</v>
      </c>
      <c r="N22" s="12">
        <f t="shared" ca="1" si="3"/>
        <v>-4316.1901846788505</v>
      </c>
      <c r="O22" s="12">
        <f t="shared" ca="1" si="3"/>
        <v>1517.1431486544825</v>
      </c>
      <c r="P22" s="12">
        <f t="shared" ca="1" si="3"/>
        <v>153888.65280353255</v>
      </c>
      <c r="Q22" s="12">
        <f t="shared" ca="1" si="3"/>
        <v>153140.60535939189</v>
      </c>
      <c r="R22" s="12">
        <f t="shared" ca="1" si="3"/>
        <v>223723.93869272518</v>
      </c>
      <c r="S22" s="12">
        <f t="shared" ca="1" si="3"/>
        <v>194047.05170391328</v>
      </c>
      <c r="T22" s="12">
        <f t="shared" ca="1" si="3"/>
        <v>474047.05170391325</v>
      </c>
      <c r="U22" s="12">
        <f t="shared" ca="1" si="3"/>
        <v>459463.71837058</v>
      </c>
      <c r="V22" s="12">
        <f t="shared" ca="1" si="3"/>
        <v>714385.20014763833</v>
      </c>
      <c r="W22" s="12">
        <f t="shared" ca="1" si="3"/>
        <v>936126.20909432671</v>
      </c>
      <c r="X22" s="12">
        <f t="shared" ca="1" si="3"/>
        <v>965296.53801287606</v>
      </c>
      <c r="Y22" s="12">
        <f t="shared" ca="1" si="3"/>
        <v>1228838.0012939419</v>
      </c>
      <c r="Z22" s="12">
        <f t="shared" ca="1" si="3"/>
        <v>1220293.1261017206</v>
      </c>
      <c r="AA22" s="12">
        <f t="shared" ca="1" si="3"/>
        <v>1214250.0097902729</v>
      </c>
      <c r="AB22" s="12">
        <f t="shared" ca="1" si="3"/>
        <v>1192283.4178255722</v>
      </c>
      <c r="AC22" s="12">
        <f t="shared" ca="1" si="3"/>
        <v>1184607.2966768641</v>
      </c>
      <c r="AD22" s="12">
        <f t="shared" ca="1" si="3"/>
        <v>1154166.1445489402</v>
      </c>
      <c r="AE22" s="12">
        <f t="shared" ca="1" si="3"/>
        <v>1276803.0632833731</v>
      </c>
      <c r="AF22" s="12">
        <f t="shared" ca="1" si="3"/>
        <v>1391711.5968508115</v>
      </c>
      <c r="AG22" s="12">
        <f t="shared" ca="1" si="3"/>
        <v>1498270.0325785272</v>
      </c>
      <c r="AH22" s="12">
        <f t="shared" ca="1" si="3"/>
        <v>1692203.2957271717</v>
      </c>
      <c r="AI22" s="12">
        <f t="shared" ca="1" si="3"/>
        <v>1777202.313866612</v>
      </c>
      <c r="AJ22" s="12">
        <f t="shared" ca="1" si="3"/>
        <v>1993650.9714576467</v>
      </c>
      <c r="AK22" s="12">
        <f t="shared" ca="1" si="3"/>
        <v>2075469.8427794622</v>
      </c>
      <c r="AL22" s="12">
        <f t="shared" ca="1" si="3"/>
        <v>2172692.1245430079</v>
      </c>
      <c r="AM22" s="12">
        <f t="shared" ca="1" si="3"/>
        <v>2339105.8919201125</v>
      </c>
      <c r="AN22" s="12">
        <f t="shared" ca="1" si="3"/>
        <v>2488748.2763423822</v>
      </c>
      <c r="AO22" s="12">
        <f t="shared" ca="1" si="3"/>
        <v>2528124.3673782991</v>
      </c>
      <c r="AP22" s="12">
        <f t="shared" ca="1" si="3"/>
        <v>2776408.7297891183</v>
      </c>
      <c r="AQ22" s="12">
        <f t="shared" ca="1" si="3"/>
        <v>2860313.8001411781</v>
      </c>
      <c r="AR22" s="12">
        <f t="shared" ca="1" si="3"/>
        <v>3097422.5339427213</v>
      </c>
      <c r="AS22" s="12">
        <f t="shared" ca="1" si="3"/>
        <v>3317831.0720648207</v>
      </c>
      <c r="AT22" s="12">
        <f t="shared" ca="1" si="3"/>
        <v>3665361.7442005016</v>
      </c>
      <c r="AU22" s="12">
        <f t="shared" ca="1" si="3"/>
        <v>3854914.9036085214</v>
      </c>
      <c r="AV22" s="12">
        <f t="shared" ca="1" si="3"/>
        <v>4172499.3210417647</v>
      </c>
      <c r="AW22" s="12">
        <f t="shared" ca="1" si="3"/>
        <v>4616756.4582501911</v>
      </c>
      <c r="AX22" s="12">
        <f t="shared" ca="1" si="3"/>
        <v>4908225.9766425565</v>
      </c>
      <c r="AY22" s="12">
        <f t="shared" ca="1" si="3"/>
        <v>5318170.51525422</v>
      </c>
      <c r="AZ22" s="12">
        <f t="shared" ca="1" si="3"/>
        <v>5712372.8275484778</v>
      </c>
      <c r="BA22" s="12">
        <f t="shared" ca="1" si="3"/>
        <v>6098553.0090798195</v>
      </c>
      <c r="BB22" s="12">
        <f t="shared" ca="1" si="3"/>
        <v>6453223.5000525527</v>
      </c>
      <c r="BC22" s="12">
        <f t="shared" ca="1" si="3"/>
        <v>6936572.7497231318</v>
      </c>
      <c r="BD22" s="12">
        <f t="shared" ca="1" si="3"/>
        <v>7387019.5296255844</v>
      </c>
      <c r="BE22" s="12">
        <f t="shared" ca="1" si="3"/>
        <v>7964629.0317513328</v>
      </c>
      <c r="BF22" s="12">
        <f t="shared" ca="1" si="3"/>
        <v>8487748.6549884621</v>
      </c>
      <c r="BG22" s="12">
        <f t="shared" ca="1" si="3"/>
        <v>8990259.1404711679</v>
      </c>
      <c r="BH22" s="12">
        <f t="shared" ca="1" si="3"/>
        <v>9608832.1420043241</v>
      </c>
      <c r="BI22" s="12">
        <f t="shared" ca="1" si="3"/>
        <v>10186749.316279249</v>
      </c>
      <c r="BJ22" s="12">
        <f t="shared" ca="1" si="3"/>
        <v>10835400.853063984</v>
      </c>
      <c r="BK22" s="12">
        <f t="shared" ca="1" si="3"/>
        <v>11450919.096953975</v>
      </c>
      <c r="BL22" s="12">
        <f t="shared" ca="1" si="3"/>
        <v>12175549.095059501</v>
      </c>
      <c r="BM22" s="12">
        <f t="shared" ca="1" si="3"/>
        <v>12803971.958122181</v>
      </c>
      <c r="BN22" s="12">
        <f t="shared" ca="1" si="3"/>
        <v>13548458.773400983</v>
      </c>
      <c r="BO22" s="12">
        <f t="shared" ca="1" si="3"/>
        <v>14381755.1411561</v>
      </c>
      <c r="BP22" s="12">
        <f t="shared" ca="1" si="3"/>
        <v>15185086.200961007</v>
      </c>
      <c r="BQ22" s="12">
        <f t="shared" ca="1" si="3"/>
        <v>16073576.038545832</v>
      </c>
    </row>
  </sheetData>
  <conditionalFormatting sqref="F2:F3">
    <cfRule type="cellIs" dxfId="112" priority="1" stopIfTrue="1" operator="notEqual">
      <formula>0</formula>
    </cfRule>
    <cfRule type="cellIs" dxfId="111" priority="2" stopIfTrue="1" operator="equal">
      <formula>""</formula>
    </cfRule>
  </conditionalFormatting>
  <conditionalFormatting sqref="J3:BQ3">
    <cfRule type="cellIs" dxfId="110" priority="3" operator="equal">
      <formula>"PPA ext."</formula>
    </cfRule>
    <cfRule type="cellIs" dxfId="109" priority="4" operator="equal">
      <formula>"Delay"</formula>
    </cfRule>
    <cfRule type="cellIs" dxfId="108" priority="5" operator="equal">
      <formula>"Fin Close"</formula>
    </cfRule>
    <cfRule type="cellIs" dxfId="107" priority="6" stopIfTrue="1" operator="equal">
      <formula>"Construction"</formula>
    </cfRule>
    <cfRule type="cellIs" dxfId="10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4F81BD"/>
    <outlinePr summaryBelow="0" summaryRight="0"/>
  </sheetPr>
  <dimension ref="A1:AC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18" width="12.44140625" bestFit="1" customWidth="1"/>
    <col min="19" max="27" width="13.21875" bestFit="1" customWidth="1"/>
    <col min="28" max="29" width="13.88671875" bestFit="1" customWidth="1"/>
    <col min="30" max="30" width="15.109375" hidden="1" customWidth="1"/>
    <col min="31" max="16384" width="15.109375" hidden="1"/>
  </cols>
  <sheetData>
    <row r="1" spans="1:29" s="72" customFormat="1" ht="25">
      <c r="A1" s="46" t="str">
        <f ca="1" xml:space="preserve"> RIGHT(CELL("filename", A1), LEN(CELL("filename", A1)) - SEARCH("]", CELL("filename", A1)))</f>
        <v>Income Statement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Income!E$18</f>
        <v>Income</v>
      </c>
      <c r="F8" s="17">
        <f xml:space="preserve"> Income!F$18</f>
        <v>0</v>
      </c>
      <c r="G8" s="17" t="str">
        <f xml:space="preserve"> Income!G$18</f>
        <v>GBP</v>
      </c>
      <c r="H8" s="44">
        <f ca="1" xml:space="preserve"> Income!H$18</f>
        <v>411685641.93826306</v>
      </c>
      <c r="I8" s="17">
        <f xml:space="preserve"> Income!I$18</f>
        <v>0</v>
      </c>
      <c r="J8" s="10">
        <f ca="1" xml:space="preserve"> SUMIF( Time!$J332:$BQ332, Time!J$28, Income!$J18:$BQ18)</f>
        <v>70000</v>
      </c>
      <c r="K8" s="10">
        <f ca="1" xml:space="preserve"> SUMIF( Time!$J332:$BQ332, Time!K$28, Income!$J18:$BQ18)</f>
        <v>420000</v>
      </c>
      <c r="L8" s="10">
        <f ca="1" xml:space="preserve"> SUMIF( Time!$J332:$BQ332, Time!L$28, Income!$J18:$BQ18)</f>
        <v>1330000</v>
      </c>
      <c r="M8" s="10">
        <f ca="1" xml:space="preserve"> SUMIF( Time!$J332:$BQ332, Time!M$28, Income!$J18:$BQ18)</f>
        <v>2275000</v>
      </c>
      <c r="N8" s="10">
        <f ca="1" xml:space="preserve"> SUMIF( Time!$J332:$BQ332, Time!N$28, Income!$J18:$BQ18)</f>
        <v>4315406.0415128767</v>
      </c>
      <c r="O8" s="10">
        <f ca="1" xml:space="preserve"> SUMIF( Time!$J332:$BQ332, Time!O$28, Income!$J18:$BQ18)</f>
        <v>5769948.1450924929</v>
      </c>
      <c r="P8" s="10">
        <f ca="1" xml:space="preserve"> SUMIF( Time!$J332:$BQ332, Time!P$28, Income!$J18:$BQ18)</f>
        <v>5775000</v>
      </c>
      <c r="Q8" s="10">
        <f ca="1" xml:space="preserve"> SUMIF( Time!$J332:$BQ332, Time!Q$28, Income!$J18:$BQ18)</f>
        <v>6825000</v>
      </c>
      <c r="R8" s="10">
        <f ca="1" xml:space="preserve"> SUMIF( Time!$J332:$BQ332, Time!R$28, Income!$J18:$BQ18)</f>
        <v>8890000</v>
      </c>
      <c r="S8" s="10">
        <f ca="1" xml:space="preserve"> SUMIF( Time!$J332:$BQ332, Time!S$28, Income!$J18:$BQ18)</f>
        <v>10815000</v>
      </c>
      <c r="T8" s="10">
        <f ca="1" xml:space="preserve"> SUMIF( Time!$J332:$BQ332, Time!T$28, Income!$J18:$BQ18)</f>
        <v>12985000</v>
      </c>
      <c r="U8" s="10">
        <f ca="1" xml:space="preserve"> SUMIF( Time!$J332:$BQ332, Time!U$28, Income!$J18:$BQ18)</f>
        <v>15435000</v>
      </c>
      <c r="V8" s="10">
        <f ca="1" xml:space="preserve"> SUMIF( Time!$J332:$BQ332, Time!V$28, Income!$J18:$BQ18)</f>
        <v>19177808.913427614</v>
      </c>
      <c r="W8" s="10">
        <f ca="1" xml:space="preserve"> SUMIF( Time!$J332:$BQ332, Time!W$28, Income!$J18:$BQ18)</f>
        <v>24014015.691152908</v>
      </c>
      <c r="X8" s="10">
        <f ca="1" xml:space="preserve"> SUMIF( Time!$J332:$BQ332, Time!X$28, Income!$J18:$BQ18)</f>
        <v>29348928.640954647</v>
      </c>
      <c r="Y8" s="10">
        <f ca="1" xml:space="preserve"> SUMIF( Time!$J332:$BQ332, Time!Y$28, Income!$J18:$BQ18)</f>
        <v>35636350.293258071</v>
      </c>
      <c r="Z8" s="10">
        <f ca="1" xml:space="preserve"> SUMIF( Time!$J332:$BQ332, Time!Z$28, Income!$J18:$BQ18)</f>
        <v>43127612.110674709</v>
      </c>
      <c r="AA8" s="10">
        <f ca="1" xml:space="preserve"> SUMIF( Time!$J332:$BQ332, Time!AA$28, Income!$J18:$BQ18)</f>
        <v>51627525.666125298</v>
      </c>
      <c r="AB8" s="10">
        <f ca="1" xml:space="preserve"> SUMIF( Time!$J332:$BQ332, Time!AB$28, Income!$J18:$BQ18)</f>
        <v>61257851.565728769</v>
      </c>
      <c r="AC8" s="10">
        <f ca="1" xml:space="preserve"> SUMIF( Time!$J332:$BQ332, Time!AC$28, Income!$J18:$BQ18)</f>
        <v>72590194.870335609</v>
      </c>
    </row>
    <row r="9" spans="1:29">
      <c r="E9" s="17" t="str">
        <f xml:space="preserve"> Expense!E$27</f>
        <v xml:space="preserve">Variable Operating expense </v>
      </c>
      <c r="F9" s="17">
        <f xml:space="preserve"> Expense!F$27</f>
        <v>0</v>
      </c>
      <c r="G9" s="17" t="str">
        <f xml:space="preserve"> Expense!G$27</f>
        <v>GBP</v>
      </c>
      <c r="H9" s="44">
        <f ca="1" xml:space="preserve"> Expense!H$27</f>
        <v>-69258760.470558211</v>
      </c>
      <c r="I9" s="17">
        <f xml:space="preserve"> Expense!I$27</f>
        <v>0</v>
      </c>
      <c r="J9" s="10">
        <f ca="1" xml:space="preserve"> SUMIF( Time!$J332:$BQ332, Time!J$28, Expense!$J27:$BQ27)</f>
        <v>-126000</v>
      </c>
      <c r="K9" s="10">
        <f ca="1" xml:space="preserve"> SUMIF( Time!$J332:$BQ332, Time!K$28, Expense!$J27:$BQ27)</f>
        <v>-294000</v>
      </c>
      <c r="L9" s="10">
        <f ca="1" xml:space="preserve"> SUMIF( Time!$J332:$BQ332, Time!L$28, Expense!$J27:$BQ27)</f>
        <v>-546000</v>
      </c>
      <c r="M9" s="10">
        <f ca="1" xml:space="preserve"> SUMIF( Time!$J332:$BQ332, Time!M$28, Expense!$J27:$BQ27)</f>
        <v>-630000</v>
      </c>
      <c r="N9" s="10">
        <f ca="1" xml:space="preserve"> SUMIF( Time!$J332:$BQ332, Time!N$28, Expense!$J27:$BQ27)</f>
        <v>-707937.77411099174</v>
      </c>
      <c r="O9" s="10">
        <f ca="1" xml:space="preserve"> SUMIF( Time!$J332:$BQ332, Time!O$28, Expense!$J27:$BQ27)</f>
        <v>-841884.63795198058</v>
      </c>
      <c r="P9" s="10">
        <f ca="1" xml:space="preserve"> SUMIF( Time!$J332:$BQ332, Time!P$28, Expense!$J27:$BQ27)</f>
        <v>-1001175.2014639853</v>
      </c>
      <c r="Q9" s="10">
        <f ca="1" xml:space="preserve"> SUMIF( Time!$J332:$BQ332, Time!Q$28, Expense!$J27:$BQ27)</f>
        <v>-1190604.672945254</v>
      </c>
      <c r="R9" s="10">
        <f ca="1" xml:space="preserve"> SUMIF( Time!$J332:$BQ332, Time!R$28, Expense!$J27:$BQ27)</f>
        <v>-1529275.5482219837</v>
      </c>
      <c r="S9" s="10">
        <f ca="1" xml:space="preserve"> SUMIF( Time!$J332:$BQ332, Time!S$28, Expense!$J27:$BQ27)</f>
        <v>-1948369.2759039621</v>
      </c>
      <c r="T9" s="10">
        <f ca="1" xml:space="preserve"> SUMIF( Time!$J332:$BQ332, Time!T$28, Expense!$J27:$BQ27)</f>
        <v>-2493750.4029279714</v>
      </c>
      <c r="U9" s="10">
        <f ca="1" xml:space="preserve"> SUMIF( Time!$J332:$BQ332, Time!U$28, Expense!$J27:$BQ27)</f>
        <v>-2948209.345890509</v>
      </c>
      <c r="V9" s="10">
        <f ca="1" xml:space="preserve"> SUMIF( Time!$J332:$BQ332, Time!V$28, Expense!$J27:$BQ27)</f>
        <v>-3468895.0931438627</v>
      </c>
      <c r="W9" s="10">
        <f ca="1" xml:space="preserve"> SUMIF( Time!$J332:$BQ332, Time!W$28, Expense!$J27:$BQ27)</f>
        <v>-4125234.7259647083</v>
      </c>
      <c r="X9" s="10">
        <f ca="1" xml:space="preserve"> SUMIF( Time!$J332:$BQ332, Time!X$28, Expense!$J27:$BQ27)</f>
        <v>-4905758.4871735312</v>
      </c>
      <c r="Y9" s="10">
        <f ca="1" xml:space="preserve"> SUMIF( Time!$J332:$BQ332, Time!Y$28, Expense!$J27:$BQ27)</f>
        <v>-5833962.8974317499</v>
      </c>
      <c r="Z9" s="10">
        <f ca="1" xml:space="preserve"> SUMIF( Time!$J332:$BQ332, Time!Z$28, Expense!$J27:$BQ27)</f>
        <v>-6937790.1862877272</v>
      </c>
      <c r="AA9" s="10">
        <f ca="1" xml:space="preserve"> SUMIF( Time!$J332:$BQ332, Time!AA$28, Expense!$J27:$BQ27)</f>
        <v>-8250469.4519294202</v>
      </c>
      <c r="AB9" s="10">
        <f ca="1" xml:space="preserve"> SUMIF( Time!$J332:$BQ332, Time!AB$28, Expense!$J27:$BQ27)</f>
        <v>-9811516.9743470699</v>
      </c>
      <c r="AC9" s="10">
        <f ca="1" xml:space="preserve"> SUMIF( Time!$J332:$BQ332, Time!AC$28, Expense!$J27:$BQ27)</f>
        <v>-11667925.794863505</v>
      </c>
    </row>
    <row r="10" spans="1:29">
      <c r="E10" s="17" t="str">
        <f xml:space="preserve"> Expense!E$20</f>
        <v xml:space="preserve">Fixed operating expense </v>
      </c>
      <c r="F10" s="17">
        <f xml:space="preserve"> Expense!F$20</f>
        <v>0</v>
      </c>
      <c r="G10" s="17" t="str">
        <f xml:space="preserve"> Expense!G$20</f>
        <v>GBP</v>
      </c>
      <c r="H10" s="44">
        <f xml:space="preserve"> Expense!H$20</f>
        <v>-1899484.1637263105</v>
      </c>
      <c r="I10" s="17">
        <f xml:space="preserve"> Expense!I$20</f>
        <v>0</v>
      </c>
      <c r="J10" s="10">
        <f xml:space="preserve"> SUMIF( Time!$J332:$BQ332, Time!J$28, Expense!$J20:$BQ20)</f>
        <v>-75000</v>
      </c>
      <c r="K10" s="10">
        <f xml:space="preserve"> SUMIF( Time!$J332:$BQ332, Time!K$28, Expense!$J20:$BQ20)</f>
        <v>-76823.57055403656</v>
      </c>
      <c r="L10" s="10">
        <f xml:space="preserve"> SUMIF( Time!$J332:$BQ332, Time!L$28, Expense!$J20:$BQ20)</f>
        <v>-78691.479902280436</v>
      </c>
      <c r="M10" s="10">
        <f xml:space="preserve"> SUMIF( Time!$J332:$BQ332, Time!M$28, Expense!$J20:$BQ20)</f>
        <v>-80604.806110325197</v>
      </c>
      <c r="N10" s="10">
        <f xml:space="preserve"> SUMIF( Time!$J332:$BQ332, Time!N$28, Expense!$J20:$BQ20)</f>
        <v>-82500.000000000015</v>
      </c>
      <c r="O10" s="10">
        <f xml:space="preserve"> SUMIF( Time!$J332:$BQ332, Time!O$28, Expense!$J20:$BQ20)</f>
        <v>-84514.168991426326</v>
      </c>
      <c r="P10" s="10">
        <f xml:space="preserve"> SUMIF( Time!$J332:$BQ332, Time!P$28, Expense!$J20:$BQ20)</f>
        <v>-86566.224721794133</v>
      </c>
      <c r="Q10" s="10">
        <f xml:space="preserve"> SUMIF( Time!$J332:$BQ332, Time!Q$28, Expense!$J20:$BQ20)</f>
        <v>-88674.877830522921</v>
      </c>
      <c r="R10" s="10">
        <f xml:space="preserve"> SUMIF( Time!$J332:$BQ332, Time!R$28, Expense!$J20:$BQ20)</f>
        <v>-90757.892130394146</v>
      </c>
      <c r="S10" s="10">
        <f xml:space="preserve"> SUMIF( Time!$J332:$BQ332, Time!S$28, Expense!$J20:$BQ20)</f>
        <v>-92962.566709475563</v>
      </c>
      <c r="T10" s="10">
        <f xml:space="preserve"> SUMIF( Time!$J332:$BQ332, Time!T$28, Expense!$J20:$BQ20)</f>
        <v>-95220.796851445819</v>
      </c>
      <c r="U10" s="10">
        <f xml:space="preserve"> SUMIF( Time!$J332:$BQ332, Time!U$28, Expense!$J20:$BQ20)</f>
        <v>-97539.729756925284</v>
      </c>
      <c r="V10" s="10">
        <f xml:space="preserve"> SUMIF( Time!$J332:$BQ332, Time!V$28, Expense!$J20:$BQ20)</f>
        <v>-99831.512422344764</v>
      </c>
      <c r="W10" s="10">
        <f xml:space="preserve"> SUMIF( Time!$J332:$BQ332, Time!W$28, Expense!$J20:$BQ20)</f>
        <v>-102257.16173472107</v>
      </c>
      <c r="X10" s="10">
        <f xml:space="preserve"> SUMIF( Time!$J332:$BQ332, Time!X$28, Expense!$J20:$BQ20)</f>
        <v>-104741.74809456727</v>
      </c>
      <c r="Y10" s="10">
        <f xml:space="preserve"> SUMIF( Time!$J332:$BQ332, Time!Y$28, Expense!$J20:$BQ20)</f>
        <v>-107291.96246971004</v>
      </c>
      <c r="Z10" s="10">
        <f xml:space="preserve"> SUMIF( Time!$J332:$BQ332, Time!Z$28, Expense!$J20:$BQ20)</f>
        <v>-109813.23167892126</v>
      </c>
      <c r="AA10" s="10">
        <f xml:space="preserve"> SUMIF( Time!$J332:$BQ332, Time!AA$28, Expense!$J20:$BQ20)</f>
        <v>-112481.78083589685</v>
      </c>
      <c r="AB10" s="10">
        <f xml:space="preserve"> SUMIF( Time!$J332:$BQ332, Time!AB$28, Expense!$J20:$BQ20)</f>
        <v>-115215.17786679722</v>
      </c>
      <c r="AC10" s="10">
        <f xml:space="preserve"> SUMIF( Time!$J332:$BQ332, Time!AC$28, Expense!$J20:$BQ20)</f>
        <v>-117995.47506472461</v>
      </c>
    </row>
    <row r="11" spans="1:29">
      <c r="E11" s="12" t="s">
        <v>180</v>
      </c>
      <c r="F11" s="30"/>
      <c r="G11" s="12" t="s">
        <v>257</v>
      </c>
      <c r="H11" s="54">
        <f ca="1" xml:space="preserve"> SUM( J11:BQ11 )</f>
        <v>340527397.30397844</v>
      </c>
      <c r="I11" s="30"/>
      <c r="J11" s="12">
        <f ca="1" xml:space="preserve"> SUMIF( Time!$J332:$BQ332, Time!J$28, 'Income Statement'!$J11:$BQ11)</f>
        <v>-131000</v>
      </c>
      <c r="K11" s="12">
        <f ca="1" xml:space="preserve"> SUMIF( Time!$J332:$BQ332, Time!K$28, 'Income Statement'!$J11:$BQ11)</f>
        <v>49176.429445963448</v>
      </c>
      <c r="L11" s="12">
        <f ca="1" xml:space="preserve"> SUMIF( Time!$J332:$BQ332, Time!L$28, 'Income Statement'!$J11:$BQ11)</f>
        <v>705308.52009771951</v>
      </c>
      <c r="M11" s="12">
        <f ca="1" xml:space="preserve"> SUMIF( Time!$J332:$BQ332, Time!M$28, 'Income Statement'!$J11:$BQ11)</f>
        <v>1564395.1938896747</v>
      </c>
      <c r="N11" s="12">
        <f ca="1" xml:space="preserve"> SUMIF( Time!$J332:$BQ332, Time!N$28, 'Income Statement'!$J11:$BQ11)</f>
        <v>3524968.2674018848</v>
      </c>
      <c r="O11" s="12">
        <f ca="1" xml:space="preserve"> SUMIF( Time!$J332:$BQ332, Time!O$28, 'Income Statement'!$J11:$BQ11)</f>
        <v>4843549.3381490866</v>
      </c>
      <c r="P11" s="12">
        <f ca="1" xml:space="preserve"> SUMIF( Time!$J332:$BQ332, Time!P$28, 'Income Statement'!$J11:$BQ11)</f>
        <v>4687258.5738142207</v>
      </c>
      <c r="Q11" s="12">
        <f ca="1" xml:space="preserve"> SUMIF( Time!$J332:$BQ332, Time!Q$28, 'Income Statement'!$J11:$BQ11)</f>
        <v>5545720.4492242234</v>
      </c>
      <c r="R11" s="12">
        <f ca="1" xml:space="preserve"> SUMIF( Time!$J332:$BQ332, Time!R$28, 'Income Statement'!$J11:$BQ11)</f>
        <v>7269966.5596476225</v>
      </c>
      <c r="S11" s="12">
        <f ca="1" xml:space="preserve"> SUMIF( Time!$J332:$BQ332, Time!S$28, 'Income Statement'!$J11:$BQ11)</f>
        <v>8773668.1573865619</v>
      </c>
      <c r="T11" s="12">
        <f ca="1" xml:space="preserve"> SUMIF( Time!$J332:$BQ332, Time!T$28, 'Income Statement'!$J11:$BQ11)</f>
        <v>10396028.800220583</v>
      </c>
      <c r="U11" s="12">
        <f ca="1" xml:space="preserve"> SUMIF( Time!$J332:$BQ332, Time!U$28, 'Income Statement'!$J11:$BQ11)</f>
        <v>12389250.924352568</v>
      </c>
      <c r="V11" s="12">
        <f ca="1" xml:space="preserve"> SUMIF( Time!$J332:$BQ332, Time!V$28, 'Income Statement'!$J11:$BQ11)</f>
        <v>15609082.307861406</v>
      </c>
      <c r="W11" s="12">
        <f ca="1" xml:space="preserve"> SUMIF( Time!$J332:$BQ332, Time!W$28, 'Income Statement'!$J11:$BQ11)</f>
        <v>19786523.803453479</v>
      </c>
      <c r="X11" s="12">
        <f ca="1" xml:space="preserve"> SUMIF( Time!$J332:$BQ332, Time!X$28, 'Income Statement'!$J11:$BQ11)</f>
        <v>24338428.40568655</v>
      </c>
      <c r="Y11" s="12">
        <f ca="1" xml:space="preserve"> SUMIF( Time!$J332:$BQ332, Time!Y$28, 'Income Statement'!$J11:$BQ11)</f>
        <v>29695095.433356613</v>
      </c>
      <c r="Z11" s="12">
        <f ca="1" xml:space="preserve"> SUMIF( Time!$J332:$BQ332, Time!Z$28, 'Income Statement'!$J11:$BQ11)</f>
        <v>36080008.692708053</v>
      </c>
      <c r="AA11" s="12">
        <f ca="1" xml:space="preserve"> SUMIF( Time!$J332:$BQ332, Time!AA$28, 'Income Statement'!$J11:$BQ11)</f>
        <v>43264574.433359981</v>
      </c>
      <c r="AB11" s="12">
        <f ca="1" xml:space="preserve"> SUMIF( Time!$J332:$BQ332, Time!AB$28, 'Income Statement'!$J11:$BQ11)</f>
        <v>51331119.413514897</v>
      </c>
      <c r="AC11" s="12">
        <f ca="1" xml:space="preserve"> SUMIF( Time!$J332:$BQ332, Time!AC$28, 'Income Statement'!$J11:$BQ11)</f>
        <v>60804273.600407377</v>
      </c>
    </row>
    <row r="13" spans="1:29">
      <c r="E13" s="17" t="str">
        <f xml:space="preserve"> Assets!E$14</f>
        <v xml:space="preserve">Depreciation this period </v>
      </c>
      <c r="F13" s="17">
        <f xml:space="preserve"> Assets!F$14</f>
        <v>0</v>
      </c>
      <c r="G13" s="17" t="str">
        <f xml:space="preserve"> Assets!G$14</f>
        <v>GBP</v>
      </c>
      <c r="H13" s="44">
        <f ca="1" xml:space="preserve"> Assets!H$14</f>
        <v>-16926512.227826584</v>
      </c>
      <c r="I13" s="17">
        <f xml:space="preserve"> Assets!I$14</f>
        <v>0</v>
      </c>
      <c r="J13" s="10">
        <f ca="1" xml:space="preserve"> SUMIF( Time!$J332:$BQ332, Time!J$28, Assets!$J14:$BQ14)</f>
        <v>0</v>
      </c>
      <c r="K13" s="10">
        <f ca="1" xml:space="preserve"> SUMIF( Time!$J332:$BQ332, Time!K$28, Assets!$J14:$BQ14)</f>
        <v>-7291.6666666666661</v>
      </c>
      <c r="L13" s="10">
        <f ca="1" xml:space="preserve"> SUMIF( Time!$J332:$BQ332, Time!L$28, Assets!$J14:$BQ14)</f>
        <v>-36458.333333333336</v>
      </c>
      <c r="M13" s="10">
        <f ca="1" xml:space="preserve"> SUMIF( Time!$J332:$BQ332, Time!M$28, Assets!$J14:$BQ14)</f>
        <v>-123958.33333333334</v>
      </c>
      <c r="N13" s="10">
        <f ca="1" xml:space="preserve"> SUMIF( Time!$J332:$BQ332, Time!N$28, Assets!$J14:$BQ14)</f>
        <v>-204166.66666666669</v>
      </c>
      <c r="O13" s="10">
        <f ca="1" xml:space="preserve"> SUMIF( Time!$J332:$BQ332, Time!O$28, Assets!$J14:$BQ14)</f>
        <v>-211458.33333333334</v>
      </c>
      <c r="P13" s="10">
        <f ca="1" xml:space="preserve"> SUMIF( Time!$J332:$BQ332, Time!P$28, Assets!$J14:$BQ14)</f>
        <v>-218750</v>
      </c>
      <c r="Q13" s="10">
        <f ca="1" xml:space="preserve"> SUMIF( Time!$J332:$BQ332, Time!Q$28, Assets!$J14:$BQ14)</f>
        <v>-269791.66666666663</v>
      </c>
      <c r="R13" s="10">
        <f ca="1" xml:space="preserve"> SUMIF( Time!$J332:$BQ332, Time!R$28, Assets!$J14:$BQ14)</f>
        <v>-352916.66666666663</v>
      </c>
      <c r="S13" s="10">
        <f ca="1" xml:space="preserve"> SUMIF( Time!$J332:$BQ332, Time!S$28, Assets!$J14:$BQ14)</f>
        <v>-431666.66666666663</v>
      </c>
      <c r="T13" s="10">
        <f ca="1" xml:space="preserve"> SUMIF( Time!$J332:$BQ332, Time!T$28, Assets!$J14:$BQ14)</f>
        <v>-523541.66666666663</v>
      </c>
      <c r="U13" s="10">
        <f ca="1" xml:space="preserve"> SUMIF( Time!$J332:$BQ332, Time!U$28, Assets!$J14:$BQ14)</f>
        <v>-635833.33333333337</v>
      </c>
      <c r="V13" s="10">
        <f ca="1" xml:space="preserve"> SUMIF( Time!$J332:$BQ332, Time!V$28, Assets!$J14:$BQ14)</f>
        <v>-794489.87743833777</v>
      </c>
      <c r="W13" s="10">
        <f ca="1" xml:space="preserve"> SUMIF( Time!$J332:$BQ332, Time!W$28, Assets!$J14:$BQ14)</f>
        <v>-986066.09261581511</v>
      </c>
      <c r="X13" s="10">
        <f ca="1" xml:space="preserve"> SUMIF( Time!$J332:$BQ332, Time!X$28, Assets!$J14:$BQ14)</f>
        <v>-1206593.3878683874</v>
      </c>
      <c r="Y13" s="10">
        <f ca="1" xml:space="preserve"> SUMIF( Time!$J332:$BQ332, Time!Y$28, Assets!$J14:$BQ14)</f>
        <v>-1467855.0355852405</v>
      </c>
      <c r="Z13" s="10">
        <f ca="1" xml:space="preserve"> SUMIF( Time!$J332:$BQ332, Time!Z$28, Assets!$J14:$BQ14)</f>
        <v>-1777167.0167024867</v>
      </c>
      <c r="AA13" s="10">
        <f ca="1" xml:space="preserve"> SUMIF( Time!$J332:$BQ332, Time!AA$28, Assets!$J14:$BQ14)</f>
        <v>-2138590.2803907744</v>
      </c>
      <c r="AB13" s="10">
        <f ca="1" xml:space="preserve"> SUMIF( Time!$J332:$BQ332, Time!AB$28, Assets!$J14:$BQ14)</f>
        <v>-2536915.7042292524</v>
      </c>
      <c r="AC13" s="10">
        <f ca="1" xml:space="preserve"> SUMIF( Time!$J332:$BQ332, Time!AC$28, Assets!$J14:$BQ14)</f>
        <v>-3003001.499662959</v>
      </c>
    </row>
    <row r="14" spans="1:29">
      <c r="E14" s="12" t="s">
        <v>63</v>
      </c>
      <c r="F14" s="30"/>
      <c r="G14" s="12" t="s">
        <v>257</v>
      </c>
      <c r="H14" s="54">
        <f ca="1" xml:space="preserve"> SUM( J14:BQ14 )</f>
        <v>323600885.07615185</v>
      </c>
      <c r="I14" s="30"/>
      <c r="J14" s="12">
        <f ca="1" xml:space="preserve"> SUMIF( Time!$J332:$BQ332, Time!J$28, 'Income Statement'!$J14:$BQ14)</f>
        <v>-131000.00000000001</v>
      </c>
      <c r="K14" s="12">
        <f ca="1" xml:space="preserve"> SUMIF( Time!$J332:$BQ332, Time!K$28, 'Income Statement'!$J14:$BQ14)</f>
        <v>41884.762779296776</v>
      </c>
      <c r="L14" s="12">
        <f ca="1" xml:space="preserve"> SUMIF( Time!$J332:$BQ332, Time!L$28, 'Income Statement'!$J14:$BQ14)</f>
        <v>668850.18676438625</v>
      </c>
      <c r="M14" s="12">
        <f ca="1" xml:space="preserve"> SUMIF( Time!$J332:$BQ332, Time!M$28, 'Income Statement'!$J14:$BQ14)</f>
        <v>1440436.8605563415</v>
      </c>
      <c r="N14" s="12">
        <f ca="1" xml:space="preserve"> SUMIF( Time!$J332:$BQ332, Time!N$28, 'Income Statement'!$J14:$BQ14)</f>
        <v>3320801.6007352183</v>
      </c>
      <c r="O14" s="12">
        <f ca="1" xml:space="preserve"> SUMIF( Time!$J332:$BQ332, Time!O$28, 'Income Statement'!$J14:$BQ14)</f>
        <v>4632091.0048157526</v>
      </c>
      <c r="P14" s="12">
        <f ca="1" xml:space="preserve"> SUMIF( Time!$J332:$BQ332, Time!P$28, 'Income Statement'!$J14:$BQ14)</f>
        <v>4468508.5738142207</v>
      </c>
      <c r="Q14" s="12">
        <f ca="1" xml:space="preserve"> SUMIF( Time!$J332:$BQ332, Time!Q$28, 'Income Statement'!$J14:$BQ14)</f>
        <v>5275928.7825575564</v>
      </c>
      <c r="R14" s="12">
        <f ca="1" xml:space="preserve"> SUMIF( Time!$J332:$BQ332, Time!R$28, 'Income Statement'!$J14:$BQ14)</f>
        <v>6917049.8929809555</v>
      </c>
      <c r="S14" s="12">
        <f ca="1" xml:space="preserve"> SUMIF( Time!$J332:$BQ332, Time!S$28, 'Income Statement'!$J14:$BQ14)</f>
        <v>8342001.4907198958</v>
      </c>
      <c r="T14" s="12">
        <f ca="1" xml:space="preserve"> SUMIF( Time!$J332:$BQ332, Time!T$28, 'Income Statement'!$J14:$BQ14)</f>
        <v>9872487.1335539166</v>
      </c>
      <c r="U14" s="12">
        <f ca="1" xml:space="preserve"> SUMIF( Time!$J332:$BQ332, Time!U$28, 'Income Statement'!$J14:$BQ14)</f>
        <v>11753417.591019234</v>
      </c>
      <c r="V14" s="12">
        <f ca="1" xml:space="preserve"> SUMIF( Time!$J332:$BQ332, Time!V$28, 'Income Statement'!$J14:$BQ14)</f>
        <v>14814592.43042307</v>
      </c>
      <c r="W14" s="12">
        <f ca="1" xml:space="preserve"> SUMIF( Time!$J332:$BQ332, Time!W$28, 'Income Statement'!$J14:$BQ14)</f>
        <v>18800457.710837662</v>
      </c>
      <c r="X14" s="12">
        <f ca="1" xml:space="preserve"> SUMIF( Time!$J332:$BQ332, Time!X$28, 'Income Statement'!$J14:$BQ14)</f>
        <v>23131835.01781816</v>
      </c>
      <c r="Y14" s="12">
        <f ca="1" xml:space="preserve"> SUMIF( Time!$J332:$BQ332, Time!Y$28, 'Income Statement'!$J14:$BQ14)</f>
        <v>28227240.397771373</v>
      </c>
      <c r="Z14" s="12">
        <f ca="1" xml:space="preserve"> SUMIF( Time!$J332:$BQ332, Time!Z$28, 'Income Statement'!$J14:$BQ14)</f>
        <v>34302841.676005572</v>
      </c>
      <c r="AA14" s="12">
        <f ca="1" xml:space="preserve"> SUMIF( Time!$J332:$BQ332, Time!AA$28, 'Income Statement'!$J14:$BQ14)</f>
        <v>41125984.152969204</v>
      </c>
      <c r="AB14" s="12">
        <f ca="1" xml:space="preserve"> SUMIF( Time!$J332:$BQ332, Time!AB$28, 'Income Statement'!$J14:$BQ14)</f>
        <v>48794203.709285647</v>
      </c>
      <c r="AC14" s="12">
        <f ca="1" xml:space="preserve"> SUMIF( Time!$J332:$BQ332, Time!AC$28, 'Income Statement'!$J14:$BQ14)</f>
        <v>57801272.100744411</v>
      </c>
    </row>
    <row r="16" spans="1:2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0</v>
      </c>
      <c r="I16" s="17">
        <f xml:space="preserve"> 'Supply Chain finance'!I$42</f>
        <v>0</v>
      </c>
      <c r="J16" s="10">
        <f ca="1" xml:space="preserve"> SUMIF( Time!$J332:$BQ332, Time!J$28, 'Supply Chain finance'!$J42:$BQ42)</f>
        <v>0</v>
      </c>
      <c r="K16" s="10">
        <f ca="1" xml:space="preserve"> SUMIF( Time!$J332:$BQ332, Time!K$28, 'Supply Chain finance'!$J42:$BQ42)</f>
        <v>0</v>
      </c>
      <c r="L16" s="10">
        <f ca="1" xml:space="preserve"> SUMIF( Time!$J332:$BQ332, Time!L$28, 'Supply Chain finance'!$J42:$BQ42)</f>
        <v>0</v>
      </c>
      <c r="M16" s="10">
        <f ca="1" xml:space="preserve"> SUMIF( Time!$J332:$BQ332, Time!M$28, 'Supply Chain finance'!$J42:$BQ42)</f>
        <v>0</v>
      </c>
      <c r="N16" s="10">
        <f ca="1" xml:space="preserve"> SUMIF( Time!$J332:$BQ332, Time!N$28, 'Supply Chain finance'!$J42:$BQ42)</f>
        <v>0</v>
      </c>
      <c r="O16" s="10">
        <f ca="1" xml:space="preserve"> SUMIF( Time!$J332:$BQ332, Time!O$28, 'Supply Chain finance'!$J42:$BQ42)</f>
        <v>0</v>
      </c>
      <c r="P16" s="10">
        <f ca="1" xml:space="preserve"> SUMIF( Time!$J332:$BQ332, Time!P$28, 'Supply Chain finance'!$J42:$BQ42)</f>
        <v>0</v>
      </c>
      <c r="Q16" s="10">
        <f ca="1" xml:space="preserve"> SUMIF( Time!$J332:$BQ332, Time!Q$28, 'Supply Chain finance'!$J42:$BQ42)</f>
        <v>0</v>
      </c>
      <c r="R16" s="10">
        <f ca="1" xml:space="preserve"> SUMIF( Time!$J332:$BQ332, Time!R$28, 'Supply Chain finance'!$J42:$BQ42)</f>
        <v>0</v>
      </c>
      <c r="S16" s="10">
        <f ca="1" xml:space="preserve"> SUMIF( Time!$J332:$BQ332, Time!S$28, 'Supply Chain finance'!$J42:$BQ42)</f>
        <v>0</v>
      </c>
      <c r="T16" s="10">
        <f ca="1" xml:space="preserve"> SUMIF( Time!$J332:$BQ332, Time!T$28, 'Supply Chain finance'!$J42:$BQ42)</f>
        <v>0</v>
      </c>
      <c r="U16" s="10">
        <f ca="1" xml:space="preserve"> SUMIF( Time!$J332:$BQ332, Time!U$28, 'Supply Chain finance'!$J42:$BQ42)</f>
        <v>0</v>
      </c>
      <c r="V16" s="10">
        <f ca="1" xml:space="preserve"> SUMIF( Time!$J332:$BQ332, Time!V$28, 'Supply Chain finance'!$J42:$BQ42)</f>
        <v>0</v>
      </c>
      <c r="W16" s="10">
        <f ca="1" xml:space="preserve"> SUMIF( Time!$J332:$BQ332, Time!W$28, 'Supply Chain finance'!$J42:$BQ42)</f>
        <v>0</v>
      </c>
      <c r="X16" s="10">
        <f ca="1" xml:space="preserve"> SUMIF( Time!$J332:$BQ332, Time!X$28, 'Supply Chain finance'!$J42:$BQ42)</f>
        <v>0</v>
      </c>
      <c r="Y16" s="10">
        <f ca="1" xml:space="preserve"> SUMIF( Time!$J332:$BQ332, Time!Y$28, 'Supply Chain finance'!$J42:$BQ42)</f>
        <v>0</v>
      </c>
      <c r="Z16" s="10">
        <f ca="1" xml:space="preserve"> SUMIF( Time!$J332:$BQ332, Time!Z$28, 'Supply Chain finance'!$J42:$BQ42)</f>
        <v>0</v>
      </c>
      <c r="AA16" s="10">
        <f ca="1" xml:space="preserve"> SUMIF( Time!$J332:$BQ332, Time!AA$28, 'Supply Chain finance'!$J42:$BQ42)</f>
        <v>0</v>
      </c>
      <c r="AB16" s="10">
        <f ca="1" xml:space="preserve"> SUMIF( Time!$J332:$BQ332, Time!AB$28, 'Supply Chain finance'!$J42:$BQ42)</f>
        <v>0</v>
      </c>
      <c r="AC16" s="10">
        <f ca="1" xml:space="preserve"> SUMIF( Time!$J332:$BQ332, Time!AC$28, 'Supply Chain finance'!$J42:$BQ42)</f>
        <v>0</v>
      </c>
    </row>
    <row r="17" spans="5:29">
      <c r="E17" s="17" t="str">
        <f xml:space="preserve"> 'Invoice finance'!E$41</f>
        <v xml:space="preserve">Invoice finance interest </v>
      </c>
      <c r="F17" s="17">
        <f xml:space="preserve"> 'Invoice finance'!F$41</f>
        <v>0</v>
      </c>
      <c r="G17" s="17" t="str">
        <f xml:space="preserve"> 'Invoice finance'!G$41</f>
        <v>GBP</v>
      </c>
      <c r="H17" s="44">
        <f ca="1" xml:space="preserve"> 'Invoice finance'!H$41</f>
        <v>0</v>
      </c>
      <c r="I17" s="17">
        <f xml:space="preserve"> 'Invoice finance'!I$41</f>
        <v>0</v>
      </c>
      <c r="J17" s="10">
        <f ca="1" xml:space="preserve"> SUMIF( Time!$J332:$BQ332, Time!J$28, 'Invoice finance'!$J41:$BQ41)</f>
        <v>0</v>
      </c>
      <c r="K17" s="10">
        <f ca="1" xml:space="preserve"> SUMIF( Time!$J332:$BQ332, Time!K$28, 'Invoice finance'!$J41:$BQ41)</f>
        <v>0</v>
      </c>
      <c r="L17" s="10">
        <f ca="1" xml:space="preserve"> SUMIF( Time!$J332:$BQ332, Time!L$28, 'Invoice finance'!$J41:$BQ41)</f>
        <v>0</v>
      </c>
      <c r="M17" s="10">
        <f ca="1" xml:space="preserve"> SUMIF( Time!$J332:$BQ332, Time!M$28, 'Invoice finance'!$J41:$BQ41)</f>
        <v>0</v>
      </c>
      <c r="N17" s="10">
        <f ca="1" xml:space="preserve"> SUMIF( Time!$J332:$BQ332, Time!N$28, 'Invoice finance'!$J41:$BQ41)</f>
        <v>0</v>
      </c>
      <c r="O17" s="10">
        <f ca="1" xml:space="preserve"> SUMIF( Time!$J332:$BQ332, Time!O$28, 'Invoice finance'!$J41:$BQ41)</f>
        <v>0</v>
      </c>
      <c r="P17" s="10">
        <f ca="1" xml:space="preserve"> SUMIF( Time!$J332:$BQ332, Time!P$28, 'Invoice finance'!$J41:$BQ41)</f>
        <v>0</v>
      </c>
      <c r="Q17" s="10">
        <f ca="1" xml:space="preserve"> SUMIF( Time!$J332:$BQ332, Time!Q$28, 'Invoice finance'!$J41:$BQ41)</f>
        <v>0</v>
      </c>
      <c r="R17" s="10">
        <f ca="1" xml:space="preserve"> SUMIF( Time!$J332:$BQ332, Time!R$28, 'Invoice finance'!$J41:$BQ41)</f>
        <v>0</v>
      </c>
      <c r="S17" s="10">
        <f ca="1" xml:space="preserve"> SUMIF( Time!$J332:$BQ332, Time!S$28, 'Invoice finance'!$J41:$BQ41)</f>
        <v>0</v>
      </c>
      <c r="T17" s="10">
        <f ca="1" xml:space="preserve"> SUMIF( Time!$J332:$BQ332, Time!T$28, 'Invoice finance'!$J41:$BQ41)</f>
        <v>0</v>
      </c>
      <c r="U17" s="10">
        <f ca="1" xml:space="preserve"> SUMIF( Time!$J332:$BQ332, Time!U$28, 'Invoice finance'!$J41:$BQ41)</f>
        <v>0</v>
      </c>
      <c r="V17" s="10">
        <f ca="1" xml:space="preserve"> SUMIF( Time!$J332:$BQ332, Time!V$28, 'Invoice finance'!$J41:$BQ41)</f>
        <v>0</v>
      </c>
      <c r="W17" s="10">
        <f ca="1" xml:space="preserve"> SUMIF( Time!$J332:$BQ332, Time!W$28, 'Invoice finance'!$J41:$BQ41)</f>
        <v>0</v>
      </c>
      <c r="X17" s="10">
        <f ca="1" xml:space="preserve"> SUMIF( Time!$J332:$BQ332, Time!X$28, 'Invoice finance'!$J41:$BQ41)</f>
        <v>0</v>
      </c>
      <c r="Y17" s="10">
        <f ca="1" xml:space="preserve"> SUMIF( Time!$J332:$BQ332, Time!Y$28, 'Invoice finance'!$J41:$BQ41)</f>
        <v>0</v>
      </c>
      <c r="Z17" s="10">
        <f ca="1" xml:space="preserve"> SUMIF( Time!$J332:$BQ332, Time!Z$28, 'Invoice finance'!$J41:$BQ41)</f>
        <v>0</v>
      </c>
      <c r="AA17" s="10">
        <f ca="1" xml:space="preserve"> SUMIF( Time!$J332:$BQ332, Time!AA$28, 'Invoice finance'!$J41:$BQ41)</f>
        <v>0</v>
      </c>
      <c r="AB17" s="10">
        <f ca="1" xml:space="preserve"> SUMIF( Time!$J332:$BQ332, Time!AB$28, 'Invoice finance'!$J41:$BQ41)</f>
        <v>0</v>
      </c>
      <c r="AC17" s="10">
        <f ca="1" xml:space="preserve"> SUMIF( Time!$J332:$BQ332, Time!AC$28, 'Invoice finance'!$J41:$BQ41)</f>
        <v>0</v>
      </c>
    </row>
    <row r="18" spans="5:29">
      <c r="E18" s="17" t="str">
        <f xml:space="preserve"> 'Asset Finance'!E$42</f>
        <v xml:space="preserve">Asset Finance interest </v>
      </c>
      <c r="F18" s="17">
        <f xml:space="preserve"> 'Asset Finance'!F$42</f>
        <v>0</v>
      </c>
      <c r="G18" s="17" t="str">
        <f xml:space="preserve"> 'Asset Finance'!G$42</f>
        <v>GBP</v>
      </c>
      <c r="H18" s="44">
        <f ca="1" xml:space="preserve"> 'Asset Finance'!H$42</f>
        <v>0</v>
      </c>
      <c r="I18" s="17">
        <f xml:space="preserve"> 'Asset Finance'!I$42</f>
        <v>0</v>
      </c>
      <c r="J18" s="10">
        <f ca="1" xml:space="preserve"> SUMIF( Time!$J332:$BQ332, Time!J$28, 'Asset Finance'!$J42:$BQ42)</f>
        <v>0</v>
      </c>
      <c r="K18" s="10">
        <f ca="1" xml:space="preserve"> SUMIF( Time!$J332:$BQ332, Time!K$28, 'Asset Finance'!$J42:$BQ42)</f>
        <v>0</v>
      </c>
      <c r="L18" s="10">
        <f ca="1" xml:space="preserve"> SUMIF( Time!$J332:$BQ332, Time!L$28, 'Asset Finance'!$J42:$BQ42)</f>
        <v>0</v>
      </c>
      <c r="M18" s="10">
        <f ca="1" xml:space="preserve"> SUMIF( Time!$J332:$BQ332, Time!M$28, 'Asset Finance'!$J42:$BQ42)</f>
        <v>0</v>
      </c>
      <c r="N18" s="10">
        <f ca="1" xml:space="preserve"> SUMIF( Time!$J332:$BQ332, Time!N$28, 'Asset Finance'!$J42:$BQ42)</f>
        <v>0</v>
      </c>
      <c r="O18" s="10">
        <f ca="1" xml:space="preserve"> SUMIF( Time!$J332:$BQ332, Time!O$28, 'Asset Finance'!$J42:$BQ42)</f>
        <v>0</v>
      </c>
      <c r="P18" s="10">
        <f ca="1" xml:space="preserve"> SUMIF( Time!$J332:$BQ332, Time!P$28, 'Asset Finance'!$J42:$BQ42)</f>
        <v>0</v>
      </c>
      <c r="Q18" s="10">
        <f ca="1" xml:space="preserve"> SUMIF( Time!$J332:$BQ332, Time!Q$28, 'Asset Finance'!$J42:$BQ42)</f>
        <v>0</v>
      </c>
      <c r="R18" s="10">
        <f ca="1" xml:space="preserve"> SUMIF( Time!$J332:$BQ332, Time!R$28, 'Asset Finance'!$J42:$BQ42)</f>
        <v>0</v>
      </c>
      <c r="S18" s="10">
        <f ca="1" xml:space="preserve"> SUMIF( Time!$J332:$BQ332, Time!S$28, 'Asset Finance'!$J42:$BQ42)</f>
        <v>0</v>
      </c>
      <c r="T18" s="10">
        <f ca="1" xml:space="preserve"> SUMIF( Time!$J332:$BQ332, Time!T$28, 'Asset Finance'!$J42:$BQ42)</f>
        <v>0</v>
      </c>
      <c r="U18" s="10">
        <f ca="1" xml:space="preserve"> SUMIF( Time!$J332:$BQ332, Time!U$28, 'Asset Finance'!$J42:$BQ42)</f>
        <v>0</v>
      </c>
      <c r="V18" s="10">
        <f ca="1" xml:space="preserve"> SUMIF( Time!$J332:$BQ332, Time!V$28, 'Asset Finance'!$J42:$BQ42)</f>
        <v>0</v>
      </c>
      <c r="W18" s="10">
        <f ca="1" xml:space="preserve"> SUMIF( Time!$J332:$BQ332, Time!W$28, 'Asset Finance'!$J42:$BQ42)</f>
        <v>0</v>
      </c>
      <c r="X18" s="10">
        <f ca="1" xml:space="preserve"> SUMIF( Time!$J332:$BQ332, Time!X$28, 'Asset Finance'!$J42:$BQ42)</f>
        <v>0</v>
      </c>
      <c r="Y18" s="10">
        <f ca="1" xml:space="preserve"> SUMIF( Time!$J332:$BQ332, Time!Y$28, 'Asset Finance'!$J42:$BQ42)</f>
        <v>0</v>
      </c>
      <c r="Z18" s="10">
        <f ca="1" xml:space="preserve"> SUMIF( Time!$J332:$BQ332, Time!Z$28, 'Asset Finance'!$J42:$BQ42)</f>
        <v>0</v>
      </c>
      <c r="AA18" s="10">
        <f ca="1" xml:space="preserve"> SUMIF( Time!$J332:$BQ332, Time!AA$28, 'Asset Finance'!$J42:$BQ42)</f>
        <v>0</v>
      </c>
      <c r="AB18" s="10">
        <f ca="1" xml:space="preserve"> SUMIF( Time!$J332:$BQ332, Time!AB$28, 'Asset Finance'!$J42:$BQ42)</f>
        <v>0</v>
      </c>
      <c r="AC18" s="10">
        <f ca="1" xml:space="preserve"> SUMIF( Time!$J332:$BQ332, Time!AC$28, 'Asset Finance'!$J42:$BQ42)</f>
        <v>0</v>
      </c>
    </row>
    <row r="19" spans="5:29">
      <c r="E19" s="12" t="s">
        <v>181</v>
      </c>
      <c r="F19" s="30"/>
      <c r="G19" s="12" t="s">
        <v>257</v>
      </c>
      <c r="H19" s="54">
        <f ca="1" xml:space="preserve"> SUM( J19:BQ19 )</f>
        <v>323600885.07615185</v>
      </c>
      <c r="I19" s="30"/>
      <c r="J19" s="12">
        <f ca="1" xml:space="preserve"> SUMIF( Time!$J332:$BQ332, Time!J$28, 'Income Statement'!$J19:$BQ19)</f>
        <v>-131000.00000000001</v>
      </c>
      <c r="K19" s="12">
        <f ca="1" xml:space="preserve"> SUMIF( Time!$J332:$BQ332, Time!K$28, 'Income Statement'!$J19:$BQ19)</f>
        <v>41884.762779296776</v>
      </c>
      <c r="L19" s="12">
        <f ca="1" xml:space="preserve"> SUMIF( Time!$J332:$BQ332, Time!L$28, 'Income Statement'!$J19:$BQ19)</f>
        <v>668850.18676438625</v>
      </c>
      <c r="M19" s="12">
        <f ca="1" xml:space="preserve"> SUMIF( Time!$J332:$BQ332, Time!M$28, 'Income Statement'!$J19:$BQ19)</f>
        <v>1440436.8605563415</v>
      </c>
      <c r="N19" s="12">
        <f ca="1" xml:space="preserve"> SUMIF( Time!$J332:$BQ332, Time!N$28, 'Income Statement'!$J19:$BQ19)</f>
        <v>3320801.6007352183</v>
      </c>
      <c r="O19" s="12">
        <f ca="1" xml:space="preserve"> SUMIF( Time!$J332:$BQ332, Time!O$28, 'Income Statement'!$J19:$BQ19)</f>
        <v>4632091.0048157526</v>
      </c>
      <c r="P19" s="12">
        <f ca="1" xml:space="preserve"> SUMIF( Time!$J332:$BQ332, Time!P$28, 'Income Statement'!$J19:$BQ19)</f>
        <v>4468508.5738142207</v>
      </c>
      <c r="Q19" s="12">
        <f ca="1" xml:space="preserve"> SUMIF( Time!$J332:$BQ332, Time!Q$28, 'Income Statement'!$J19:$BQ19)</f>
        <v>5275928.7825575564</v>
      </c>
      <c r="R19" s="12">
        <f ca="1" xml:space="preserve"> SUMIF( Time!$J332:$BQ332, Time!R$28, 'Income Statement'!$J19:$BQ19)</f>
        <v>6917049.8929809555</v>
      </c>
      <c r="S19" s="12">
        <f ca="1" xml:space="preserve"> SUMIF( Time!$J332:$BQ332, Time!S$28, 'Income Statement'!$J19:$BQ19)</f>
        <v>8342001.4907198958</v>
      </c>
      <c r="T19" s="12">
        <f ca="1" xml:space="preserve"> SUMIF( Time!$J332:$BQ332, Time!T$28, 'Income Statement'!$J19:$BQ19)</f>
        <v>9872487.1335539166</v>
      </c>
      <c r="U19" s="12">
        <f ca="1" xml:space="preserve"> SUMIF( Time!$J332:$BQ332, Time!U$28, 'Income Statement'!$J19:$BQ19)</f>
        <v>11753417.591019234</v>
      </c>
      <c r="V19" s="12">
        <f ca="1" xml:space="preserve"> SUMIF( Time!$J332:$BQ332, Time!V$28, 'Income Statement'!$J19:$BQ19)</f>
        <v>14814592.43042307</v>
      </c>
      <c r="W19" s="12">
        <f ca="1" xml:space="preserve"> SUMIF( Time!$J332:$BQ332, Time!W$28, 'Income Statement'!$J19:$BQ19)</f>
        <v>18800457.710837662</v>
      </c>
      <c r="X19" s="12">
        <f ca="1" xml:space="preserve"> SUMIF( Time!$J332:$BQ332, Time!X$28, 'Income Statement'!$J19:$BQ19)</f>
        <v>23131835.01781816</v>
      </c>
      <c r="Y19" s="12">
        <f ca="1" xml:space="preserve"> SUMIF( Time!$J332:$BQ332, Time!Y$28, 'Income Statement'!$J19:$BQ19)</f>
        <v>28227240.397771373</v>
      </c>
      <c r="Z19" s="12">
        <f ca="1" xml:space="preserve"> SUMIF( Time!$J332:$BQ332, Time!Z$28, 'Income Statement'!$J19:$BQ19)</f>
        <v>34302841.676005572</v>
      </c>
      <c r="AA19" s="12">
        <f ca="1" xml:space="preserve"> SUMIF( Time!$J332:$BQ332, Time!AA$28, 'Income Statement'!$J19:$BQ19)</f>
        <v>41125984.152969204</v>
      </c>
      <c r="AB19" s="12">
        <f ca="1" xml:space="preserve"> SUMIF( Time!$J332:$BQ332, Time!AB$28, 'Income Statement'!$J19:$BQ19)</f>
        <v>48794203.709285647</v>
      </c>
      <c r="AC19" s="12">
        <f ca="1" xml:space="preserve"> SUMIF( Time!$J332:$BQ332, Time!AC$28, 'Income Statement'!$J19:$BQ19)</f>
        <v>57801272.100744411</v>
      </c>
    </row>
    <row r="21" spans="5:29">
      <c r="E21" s="17" t="str">
        <f xml:space="preserve"> 'Corporation tax'!E$48</f>
        <v xml:space="preserve">Corporation tax </v>
      </c>
      <c r="F21" s="17">
        <f xml:space="preserve"> 'Corporation tax'!F$48</f>
        <v>0</v>
      </c>
      <c r="G21" s="17" t="str">
        <f xml:space="preserve"> 'Corporation tax'!G$48</f>
        <v>GBP</v>
      </c>
      <c r="H21" s="44">
        <f ca="1" xml:space="preserve"> 'Corporation tax'!H$48</f>
        <v>-68118879.460795701</v>
      </c>
      <c r="I21" s="17">
        <f xml:space="preserve"> 'Corporation tax'!I$48</f>
        <v>0</v>
      </c>
      <c r="J21" s="10">
        <f ca="1" xml:space="preserve"> SUMIF( Time!$J332:$BQ332, Time!J$28, 'Corporation tax'!$J48:$BQ48)</f>
        <v>0</v>
      </c>
      <c r="K21" s="10">
        <f ca="1" xml:space="preserve"> SUMIF( Time!$J332:$BQ332, Time!K$28, 'Corporation tax'!$J48:$BQ48)</f>
        <v>0</v>
      </c>
      <c r="L21" s="10">
        <f ca="1" xml:space="preserve"> SUMIF( Time!$J332:$BQ332, Time!L$28, 'Corporation tax'!$J48:$BQ48)</f>
        <v>-138096.98990873661</v>
      </c>
      <c r="M21" s="10">
        <f ca="1" xml:space="preserve"> SUMIF( Time!$J332:$BQ332, Time!M$28, 'Corporation tax'!$J48:$BQ48)</f>
        <v>-312879.03877793497</v>
      </c>
      <c r="N21" s="10">
        <f ca="1" xml:space="preserve"> SUMIF( Time!$J332:$BQ332, Time!N$28, 'Corporation tax'!$J48:$BQ48)</f>
        <v>-704993.65348037705</v>
      </c>
      <c r="O21" s="10">
        <f ca="1" xml:space="preserve"> SUMIF( Time!$J332:$BQ332, Time!O$28, 'Corporation tax'!$J48:$BQ48)</f>
        <v>-968709.86762981745</v>
      </c>
      <c r="P21" s="10">
        <f ca="1" xml:space="preserve"> SUMIF( Time!$J332:$BQ332, Time!P$28, 'Corporation tax'!$J48:$BQ48)</f>
        <v>-937451.71476284415</v>
      </c>
      <c r="Q21" s="10">
        <f ca="1" xml:space="preserve"> SUMIF( Time!$J332:$BQ332, Time!Q$28, 'Corporation tax'!$J48:$BQ48)</f>
        <v>-1109144.0898448448</v>
      </c>
      <c r="R21" s="10">
        <f ca="1" xml:space="preserve"> SUMIF( Time!$J332:$BQ332, Time!R$28, 'Corporation tax'!$J48:$BQ48)</f>
        <v>-1453993.3119295244</v>
      </c>
      <c r="S21" s="10">
        <f ca="1" xml:space="preserve"> SUMIF( Time!$J332:$BQ332, Time!S$28, 'Corporation tax'!$J48:$BQ48)</f>
        <v>-1754733.6314773124</v>
      </c>
      <c r="T21" s="10">
        <f ca="1" xml:space="preserve"> SUMIF( Time!$J332:$BQ332, Time!T$28, 'Corporation tax'!$J48:$BQ48)</f>
        <v>-2079205.760044117</v>
      </c>
      <c r="U21" s="10">
        <f ca="1" xml:space="preserve"> SUMIF( Time!$J332:$BQ332, Time!U$28, 'Corporation tax'!$J48:$BQ48)</f>
        <v>-2477850.1848705132</v>
      </c>
      <c r="V21" s="10">
        <f ca="1" xml:space="preserve"> SUMIF( Time!$J332:$BQ332, Time!V$28, 'Corporation tax'!$J48:$BQ48)</f>
        <v>-3121816.461572282</v>
      </c>
      <c r="W21" s="10">
        <f ca="1" xml:space="preserve"> SUMIF( Time!$J332:$BQ332, Time!W$28, 'Corporation tax'!$J48:$BQ48)</f>
        <v>-3957304.7606906961</v>
      </c>
      <c r="X21" s="10">
        <f ca="1" xml:space="preserve"> SUMIF( Time!$J332:$BQ332, Time!X$28, 'Corporation tax'!$J48:$BQ48)</f>
        <v>-4867685.6811373103</v>
      </c>
      <c r="Y21" s="10">
        <f ca="1" xml:space="preserve"> SUMIF( Time!$J332:$BQ332, Time!Y$28, 'Corporation tax'!$J48:$BQ48)</f>
        <v>-5939019.0866713226</v>
      </c>
      <c r="Z21" s="10">
        <f ca="1" xml:space="preserve"> SUMIF( Time!$J332:$BQ332, Time!Z$28, 'Corporation tax'!$J48:$BQ48)</f>
        <v>-7216001.7385416105</v>
      </c>
      <c r="AA21" s="10">
        <f ca="1" xml:space="preserve"> SUMIF( Time!$J332:$BQ332, Time!AA$28, 'Corporation tax'!$J48:$BQ48)</f>
        <v>-8652914.8866719957</v>
      </c>
      <c r="AB21" s="10">
        <f ca="1" xml:space="preserve"> SUMIF( Time!$J332:$BQ332, Time!AB$28, 'Corporation tax'!$J48:$BQ48)</f>
        <v>-10266223.88270298</v>
      </c>
      <c r="AC21" s="10">
        <f ca="1" xml:space="preserve"> SUMIF( Time!$J332:$BQ332, Time!AC$28, 'Corporation tax'!$J48:$BQ48)</f>
        <v>-12160854.720081475</v>
      </c>
    </row>
    <row r="22" spans="5:29">
      <c r="E22" s="12" t="s">
        <v>38</v>
      </c>
      <c r="F22" s="30"/>
      <c r="G22" s="12" t="s">
        <v>257</v>
      </c>
      <c r="H22" s="54">
        <f ca="1" xml:space="preserve"> SUM( J22:BQ22 )</f>
        <v>255482005.61535618</v>
      </c>
      <c r="I22" s="30"/>
      <c r="J22" s="12">
        <f ca="1" xml:space="preserve"> SUMIF( Time!$J332:$BQ332, Time!J$28, 'Income Statement'!$J22:$BQ22)</f>
        <v>-131000.00000000001</v>
      </c>
      <c r="K22" s="12">
        <f ca="1" xml:space="preserve"> SUMIF( Time!$J332:$BQ332, Time!K$28, 'Income Statement'!$J22:$BQ22)</f>
        <v>41884.762779296776</v>
      </c>
      <c r="L22" s="12">
        <f ca="1" xml:space="preserve"> SUMIF( Time!$J332:$BQ332, Time!L$28, 'Income Statement'!$J22:$BQ22)</f>
        <v>530753.19685564958</v>
      </c>
      <c r="M22" s="12">
        <f ca="1" xml:space="preserve"> SUMIF( Time!$J332:$BQ332, Time!M$28, 'Income Statement'!$J22:$BQ22)</f>
        <v>1127557.8217784064</v>
      </c>
      <c r="N22" s="12">
        <f ca="1" xml:space="preserve"> SUMIF( Time!$J332:$BQ332, Time!N$28, 'Income Statement'!$J22:$BQ22)</f>
        <v>2615807.9472548412</v>
      </c>
      <c r="O22" s="12">
        <f ca="1" xml:space="preserve"> SUMIF( Time!$J332:$BQ332, Time!O$28, 'Income Statement'!$J22:$BQ22)</f>
        <v>3663381.1371859354</v>
      </c>
      <c r="P22" s="12">
        <f ca="1" xml:space="preserve"> SUMIF( Time!$J332:$BQ332, Time!P$28, 'Income Statement'!$J22:$BQ22)</f>
        <v>3531056.8590513766</v>
      </c>
      <c r="Q22" s="12">
        <f ca="1" xml:space="preserve"> SUMIF( Time!$J332:$BQ332, Time!Q$28, 'Income Statement'!$J22:$BQ22)</f>
        <v>4166784.6927127121</v>
      </c>
      <c r="R22" s="12">
        <f ca="1" xml:space="preserve"> SUMIF( Time!$J332:$BQ332, Time!R$28, 'Income Statement'!$J22:$BQ22)</f>
        <v>5463056.5810514297</v>
      </c>
      <c r="S22" s="12">
        <f ca="1" xml:space="preserve"> SUMIF( Time!$J332:$BQ332, Time!S$28, 'Income Statement'!$J22:$BQ22)</f>
        <v>6587267.8592425827</v>
      </c>
      <c r="T22" s="12">
        <f ca="1" xml:space="preserve"> SUMIF( Time!$J332:$BQ332, Time!T$28, 'Income Statement'!$J22:$BQ22)</f>
        <v>7793281.3735097991</v>
      </c>
      <c r="U22" s="12">
        <f ca="1" xml:space="preserve"> SUMIF( Time!$J332:$BQ332, Time!U$28, 'Income Statement'!$J22:$BQ22)</f>
        <v>9275567.4061487205</v>
      </c>
      <c r="V22" s="12">
        <f ca="1" xml:space="preserve"> SUMIF( Time!$J332:$BQ332, Time!V$28, 'Income Statement'!$J22:$BQ22)</f>
        <v>11692775.968850788</v>
      </c>
      <c r="W22" s="12">
        <f ca="1" xml:space="preserve"> SUMIF( Time!$J332:$BQ332, Time!W$28, 'Income Statement'!$J22:$BQ22)</f>
        <v>14843152.950146968</v>
      </c>
      <c r="X22" s="12">
        <f ca="1" xml:space="preserve"> SUMIF( Time!$J332:$BQ332, Time!X$28, 'Income Statement'!$J22:$BQ22)</f>
        <v>18264149.336680852</v>
      </c>
      <c r="Y22" s="12">
        <f ca="1" xml:space="preserve"> SUMIF( Time!$J332:$BQ332, Time!Y$28, 'Income Statement'!$J22:$BQ22)</f>
        <v>22288221.311100051</v>
      </c>
      <c r="Z22" s="12">
        <f ca="1" xml:space="preserve"> SUMIF( Time!$J332:$BQ332, Time!Z$28, 'Income Statement'!$J22:$BQ22)</f>
        <v>27086839.937463954</v>
      </c>
      <c r="AA22" s="12">
        <f ca="1" xml:space="preserve"> SUMIF( Time!$J332:$BQ332, Time!AA$28, 'Income Statement'!$J22:$BQ22)</f>
        <v>32473069.266297206</v>
      </c>
      <c r="AB22" s="12">
        <f ca="1" xml:space="preserve"> SUMIF( Time!$J332:$BQ332, Time!AB$28, 'Income Statement'!$J22:$BQ22)</f>
        <v>38527979.826582663</v>
      </c>
      <c r="AC22" s="12">
        <f ca="1" xml:space="preserve"> SUMIF( Time!$J332:$BQ332, Time!AC$28, 'Income Statement'!$J22:$BQ22)</f>
        <v>45640417.38066294</v>
      </c>
    </row>
  </sheetData>
  <conditionalFormatting sqref="F2:F3">
    <cfRule type="cellIs" dxfId="105" priority="1" stopIfTrue="1" operator="notEqual">
      <formula>0</formula>
    </cfRule>
    <cfRule type="cellIs" dxfId="104" priority="2" stopIfTrue="1" operator="equal">
      <formula>""</formula>
    </cfRule>
  </conditionalFormatting>
  <conditionalFormatting sqref="J3:AC3">
    <cfRule type="cellIs" dxfId="103" priority="3" operator="equal">
      <formula>"PPA ext."</formula>
    </cfRule>
    <cfRule type="cellIs" dxfId="102" priority="4" operator="equal">
      <formula>"Delay"</formula>
    </cfRule>
    <cfRule type="cellIs" dxfId="101" priority="5" operator="equal">
      <formula>"Fin Close"</formula>
    </cfRule>
    <cfRule type="cellIs" dxfId="100" priority="6" stopIfTrue="1" operator="equal">
      <formula>"Construction"</formula>
    </cfRule>
    <cfRule type="cellIs" dxfId="9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4F81BD"/>
    <outlinePr summaryBelow="0" summaryRight="0"/>
  </sheetPr>
  <dimension ref="A1:S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1" width="12.44140625" bestFit="1" customWidth="1"/>
    <col min="12" max="16" width="13.21875" bestFit="1" customWidth="1"/>
    <col min="17" max="18" width="13.88671875" bestFit="1" customWidth="1"/>
    <col min="19" max="19" width="14.44140625" bestFit="1" customWidth="1"/>
    <col min="20" max="20" width="15.109375" hidden="1" customWidth="1"/>
    <col min="21" max="16384" width="15.109375" hidden="1"/>
  </cols>
  <sheetData>
    <row r="1" spans="1:19" s="72" customFormat="1" ht="25">
      <c r="A1" s="46" t="str">
        <f ca="1" xml:space="preserve"> RIGHT(CELL("filename", A1), LEN(CELL("filename", A1)) - SEARCH("]", CELL("filename", A1)))</f>
        <v>Income Statement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Income!E$18</f>
        <v>Income</v>
      </c>
      <c r="F8" s="17">
        <f xml:space="preserve"> Income!F$18</f>
        <v>0</v>
      </c>
      <c r="G8" s="17" t="str">
        <f xml:space="preserve"> Income!G$18</f>
        <v>GBP</v>
      </c>
      <c r="H8" s="44">
        <f ca="1" xml:space="preserve"> Income!H$18</f>
        <v>411685641.93826306</v>
      </c>
      <c r="I8" s="17">
        <f xml:space="preserve"> Income!I$18</f>
        <v>0</v>
      </c>
      <c r="J8" s="10">
        <f ca="1" xml:space="preserve"> SUMIF( Time!$J347:$BQ347, Time!J$28, Income!$J18:$BQ18)</f>
        <v>490000</v>
      </c>
      <c r="K8" s="10">
        <f ca="1" xml:space="preserve"> SUMIF( Time!$J347:$BQ347, Time!K$28, Income!$J18:$BQ18)</f>
        <v>3605000</v>
      </c>
      <c r="L8" s="10">
        <f ca="1" xml:space="preserve"> SUMIF( Time!$J347:$BQ347, Time!L$28, Income!$J18:$BQ18)</f>
        <v>10085354.18660537</v>
      </c>
      <c r="M8" s="10">
        <f ca="1" xml:space="preserve"> SUMIF( Time!$J347:$BQ347, Time!M$28, Income!$J18:$BQ18)</f>
        <v>12600000</v>
      </c>
      <c r="N8" s="10">
        <f ca="1" xml:space="preserve"> SUMIF( Time!$J347:$BQ347, Time!N$28, Income!$J18:$BQ18)</f>
        <v>19705000</v>
      </c>
      <c r="O8" s="10">
        <f ca="1" xml:space="preserve"> SUMIF( Time!$J347:$BQ347, Time!O$28, Income!$J18:$BQ18)</f>
        <v>28420000</v>
      </c>
      <c r="P8" s="10">
        <f ca="1" xml:space="preserve"> SUMIF( Time!$J347:$BQ347, Time!P$28, Income!$J18:$BQ18)</f>
        <v>43191824.604580522</v>
      </c>
      <c r="Q8" s="10">
        <f ca="1" xml:space="preserve"> SUMIF( Time!$J347:$BQ347, Time!Q$28, Income!$J18:$BQ18)</f>
        <v>64985278.934212714</v>
      </c>
      <c r="R8" s="10">
        <f ca="1" xml:space="preserve"> SUMIF( Time!$J347:$BQ347, Time!R$28, Income!$J18:$BQ18)</f>
        <v>94755137.776800007</v>
      </c>
      <c r="S8" s="10">
        <f ca="1" xml:space="preserve"> SUMIF( Time!$J347:$BQ347, Time!S$28, Income!$J18:$BQ18)</f>
        <v>133848046.43606436</v>
      </c>
    </row>
    <row r="9" spans="1:19">
      <c r="E9" s="17" t="str">
        <f xml:space="preserve"> Expense!E$27</f>
        <v xml:space="preserve">Variable Operating expense </v>
      </c>
      <c r="F9" s="17">
        <f xml:space="preserve"> Expense!F$27</f>
        <v>0</v>
      </c>
      <c r="G9" s="17" t="str">
        <f xml:space="preserve"> Expense!G$27</f>
        <v>GBP</v>
      </c>
      <c r="H9" s="44">
        <f ca="1" xml:space="preserve"> Expense!H$27</f>
        <v>-69258760.470558211</v>
      </c>
      <c r="I9" s="17">
        <f xml:space="preserve"> Expense!I$27</f>
        <v>0</v>
      </c>
      <c r="J9" s="10">
        <f ca="1" xml:space="preserve"> SUMIF( Time!$J347:$BQ347, Time!J$28, Expense!$J27:$BQ27)</f>
        <v>-420000</v>
      </c>
      <c r="K9" s="10">
        <f ca="1" xml:space="preserve"> SUMIF( Time!$J347:$BQ347, Time!K$28, Expense!$J27:$BQ27)</f>
        <v>-1176000</v>
      </c>
      <c r="L9" s="10">
        <f ca="1" xml:space="preserve"> SUMIF( Time!$J347:$BQ347, Time!L$28, Expense!$J27:$BQ27)</f>
        <v>-1549822.4120629726</v>
      </c>
      <c r="M9" s="10">
        <f ca="1" xml:space="preserve"> SUMIF( Time!$J347:$BQ347, Time!M$28, Expense!$J27:$BQ27)</f>
        <v>-2191779.8744092393</v>
      </c>
      <c r="N9" s="10">
        <f ca="1" xml:space="preserve"> SUMIF( Time!$J347:$BQ347, Time!N$28, Expense!$J27:$BQ27)</f>
        <v>-3477644.824125946</v>
      </c>
      <c r="O9" s="10">
        <f ca="1" xml:space="preserve"> SUMIF( Time!$J347:$BQ347, Time!O$28, Expense!$J27:$BQ27)</f>
        <v>-5441959.7488184795</v>
      </c>
      <c r="P9" s="10">
        <f ca="1" xml:space="preserve"> SUMIF( Time!$J347:$BQ347, Time!P$28, Expense!$J27:$BQ27)</f>
        <v>-7594129.8191085709</v>
      </c>
      <c r="Q9" s="10">
        <f ca="1" xml:space="preserve"> SUMIF( Time!$J347:$BQ347, Time!Q$28, Expense!$J27:$BQ27)</f>
        <v>-10739721.384605279</v>
      </c>
      <c r="R9" s="10">
        <f ca="1" xml:space="preserve"> SUMIF( Time!$J347:$BQ347, Time!R$28, Expense!$J27:$BQ27)</f>
        <v>-15188259.638217147</v>
      </c>
      <c r="S9" s="10">
        <f ca="1" xml:space="preserve"> SUMIF( Time!$J347:$BQ347, Time!S$28, Expense!$J27:$BQ27)</f>
        <v>-21479442.769210577</v>
      </c>
    </row>
    <row r="10" spans="1:19">
      <c r="E10" s="17" t="str">
        <f xml:space="preserve"> Expense!E$20</f>
        <v xml:space="preserve">Fixed operating expense </v>
      </c>
      <c r="F10" s="17">
        <f xml:space="preserve"> Expense!F$20</f>
        <v>0</v>
      </c>
      <c r="G10" s="17" t="str">
        <f xml:space="preserve"> Expense!G$20</f>
        <v>GBP</v>
      </c>
      <c r="H10" s="44">
        <f xml:space="preserve"> Expense!H$20</f>
        <v>-1899484.1637263105</v>
      </c>
      <c r="I10" s="17">
        <f xml:space="preserve"> Expense!I$20</f>
        <v>0</v>
      </c>
      <c r="J10" s="10">
        <f xml:space="preserve"> SUMIF( Time!$J347:$BQ347, Time!J$28, Expense!$J20:$BQ20)</f>
        <v>-151823.57055403653</v>
      </c>
      <c r="K10" s="10">
        <f xml:space="preserve"> SUMIF( Time!$J347:$BQ347, Time!K$28, Expense!$J20:$BQ20)</f>
        <v>-159296.28601260565</v>
      </c>
      <c r="L10" s="10">
        <f xml:space="preserve"> SUMIF( Time!$J347:$BQ347, Time!L$28, Expense!$J20:$BQ20)</f>
        <v>-167014.16899142633</v>
      </c>
      <c r="M10" s="10">
        <f xml:space="preserve"> SUMIF( Time!$J347:$BQ347, Time!M$28, Expense!$J20:$BQ20)</f>
        <v>-175241.10255231705</v>
      </c>
      <c r="N10" s="10">
        <f xml:space="preserve"> SUMIF( Time!$J347:$BQ347, Time!N$28, Expense!$J20:$BQ20)</f>
        <v>-183720.45883986971</v>
      </c>
      <c r="O10" s="10">
        <f xml:space="preserve"> SUMIF( Time!$J347:$BQ347, Time!O$28, Expense!$J20:$BQ20)</f>
        <v>-192760.52660837109</v>
      </c>
      <c r="P10" s="10">
        <f xml:space="preserve"> SUMIF( Time!$J347:$BQ347, Time!P$28, Expense!$J20:$BQ20)</f>
        <v>-202088.67415706581</v>
      </c>
      <c r="Q10" s="10">
        <f xml:space="preserve"> SUMIF( Time!$J347:$BQ347, Time!Q$28, Expense!$J20:$BQ20)</f>
        <v>-212033.71056427731</v>
      </c>
      <c r="R10" s="10">
        <f xml:space="preserve"> SUMIF( Time!$J347:$BQ347, Time!R$28, Expense!$J20:$BQ20)</f>
        <v>-222295.01251481808</v>
      </c>
      <c r="S10" s="10">
        <f xml:space="preserve"> SUMIF( Time!$J347:$BQ347, Time!S$28, Expense!$J20:$BQ20)</f>
        <v>-233210.65293152182</v>
      </c>
    </row>
    <row r="11" spans="1:19">
      <c r="E11" s="12" t="s">
        <v>180</v>
      </c>
      <c r="F11" s="30"/>
      <c r="G11" s="12" t="s">
        <v>257</v>
      </c>
      <c r="H11" s="54">
        <f ca="1" xml:space="preserve"> SUM( J11:BQ11 )</f>
        <v>340527397.30397844</v>
      </c>
      <c r="I11" s="30"/>
      <c r="J11" s="12">
        <f ca="1" xml:space="preserve"> SUMIF( Time!$J347:$BQ347, Time!J$28, 'Income Statement'!$J11:$BQ11)</f>
        <v>-81823.570554036531</v>
      </c>
      <c r="K11" s="12">
        <f ca="1" xml:space="preserve"> SUMIF( Time!$J347:$BQ347, Time!K$28, 'Income Statement'!$J11:$BQ11)</f>
        <v>2269703.7139873942</v>
      </c>
      <c r="L11" s="12">
        <f ca="1" xml:space="preserve"> SUMIF( Time!$J347:$BQ347, Time!L$28, 'Income Statement'!$J11:$BQ11)</f>
        <v>8368517.6055509709</v>
      </c>
      <c r="M11" s="12">
        <f ca="1" xml:space="preserve"> SUMIF( Time!$J347:$BQ347, Time!M$28, 'Income Statement'!$J11:$BQ11)</f>
        <v>10232979.023038443</v>
      </c>
      <c r="N11" s="12">
        <f ca="1" xml:space="preserve"> SUMIF( Time!$J347:$BQ347, Time!N$28, 'Income Statement'!$J11:$BQ11)</f>
        <v>16043634.717034185</v>
      </c>
      <c r="O11" s="12">
        <f ca="1" xml:space="preserve"> SUMIF( Time!$J347:$BQ347, Time!O$28, 'Income Statement'!$J11:$BQ11)</f>
        <v>22785279.72457315</v>
      </c>
      <c r="P11" s="12">
        <f ca="1" xml:space="preserve"> SUMIF( Time!$J347:$BQ347, Time!P$28, 'Income Statement'!$J11:$BQ11)</f>
        <v>35395606.111314885</v>
      </c>
      <c r="Q11" s="12">
        <f ca="1" xml:space="preserve"> SUMIF( Time!$J347:$BQ347, Time!Q$28, 'Income Statement'!$J11:$BQ11)</f>
        <v>54033523.839043163</v>
      </c>
      <c r="R11" s="12">
        <f ca="1" xml:space="preserve"> SUMIF( Time!$J347:$BQ347, Time!R$28, 'Income Statement'!$J11:$BQ11)</f>
        <v>79344583.126068026</v>
      </c>
      <c r="S11" s="12">
        <f ca="1" xml:space="preserve"> SUMIF( Time!$J347:$BQ347, Time!S$28, 'Income Statement'!$J11:$BQ11)</f>
        <v>112135393.01392227</v>
      </c>
    </row>
    <row r="13" spans="1:19">
      <c r="E13" s="17" t="str">
        <f xml:space="preserve"> Assets!E$14</f>
        <v xml:space="preserve">Depreciation this period </v>
      </c>
      <c r="F13" s="17">
        <f xml:space="preserve"> Assets!F$14</f>
        <v>0</v>
      </c>
      <c r="G13" s="17" t="str">
        <f xml:space="preserve"> Assets!G$14</f>
        <v>GBP</v>
      </c>
      <c r="H13" s="44">
        <f ca="1" xml:space="preserve"> Assets!H$14</f>
        <v>-16926512.227826584</v>
      </c>
      <c r="I13" s="17">
        <f xml:space="preserve"> Assets!I$14</f>
        <v>0</v>
      </c>
      <c r="J13" s="10">
        <f ca="1" xml:space="preserve"> SUMIF( Time!$J347:$BQ347, Time!J$28, Assets!$J14:$BQ14)</f>
        <v>-7291.6666666666661</v>
      </c>
      <c r="K13" s="10">
        <f ca="1" xml:space="preserve"> SUMIF( Time!$J347:$BQ347, Time!K$28, Assets!$J14:$BQ14)</f>
        <v>-160416.66666666666</v>
      </c>
      <c r="L13" s="10">
        <f ca="1" xml:space="preserve"> SUMIF( Time!$J347:$BQ347, Time!L$28, Assets!$J14:$BQ14)</f>
        <v>-415625.00000000006</v>
      </c>
      <c r="M13" s="10">
        <f ca="1" xml:space="preserve"> SUMIF( Time!$J347:$BQ347, Time!M$28, Assets!$J14:$BQ14)</f>
        <v>-488541.66666666663</v>
      </c>
      <c r="N13" s="10">
        <f ca="1" xml:space="preserve"> SUMIF( Time!$J347:$BQ347, Time!N$28, Assets!$J14:$BQ14)</f>
        <v>-784583.33333333326</v>
      </c>
      <c r="O13" s="10">
        <f ca="1" xml:space="preserve"> SUMIF( Time!$J347:$BQ347, Time!O$28, Assets!$J14:$BQ14)</f>
        <v>-1159375</v>
      </c>
      <c r="P13" s="10">
        <f ca="1" xml:space="preserve"> SUMIF( Time!$J347:$BQ347, Time!P$28, Assets!$J14:$BQ14)</f>
        <v>-1780555.9700541529</v>
      </c>
      <c r="Q13" s="10">
        <f ca="1" xml:space="preserve"> SUMIF( Time!$J347:$BQ347, Time!Q$28, Assets!$J14:$BQ14)</f>
        <v>-2674448.4234536276</v>
      </c>
      <c r="R13" s="10">
        <f ca="1" xml:space="preserve"> SUMIF( Time!$J347:$BQ347, Time!R$28, Assets!$J14:$BQ14)</f>
        <v>-3915757.297093261</v>
      </c>
      <c r="S13" s="10">
        <f ca="1" xml:space="preserve"> SUMIF( Time!$J347:$BQ347, Time!S$28, Assets!$J14:$BQ14)</f>
        <v>-5539917.2038922114</v>
      </c>
    </row>
    <row r="14" spans="1:19">
      <c r="E14" s="12" t="s">
        <v>63</v>
      </c>
      <c r="F14" s="30"/>
      <c r="G14" s="12" t="s">
        <v>257</v>
      </c>
      <c r="H14" s="54">
        <f ca="1" xml:space="preserve"> SUM( J14:BQ14 )</f>
        <v>323600885.07615191</v>
      </c>
      <c r="I14" s="30"/>
      <c r="J14" s="12">
        <f ca="1" xml:space="preserve"> SUMIF( Time!$J347:$BQ347, Time!J$28, 'Income Statement'!$J14:$BQ14)</f>
        <v>-89115.237220703246</v>
      </c>
      <c r="K14" s="12">
        <f ca="1" xml:space="preserve"> SUMIF( Time!$J347:$BQ347, Time!K$28, 'Income Statement'!$J14:$BQ14)</f>
        <v>2109287.0473207277</v>
      </c>
      <c r="L14" s="12">
        <f ca="1" xml:space="preserve"> SUMIF( Time!$J347:$BQ347, Time!L$28, 'Income Statement'!$J14:$BQ14)</f>
        <v>7952892.6055509709</v>
      </c>
      <c r="M14" s="12">
        <f ca="1" xml:space="preserve"> SUMIF( Time!$J347:$BQ347, Time!M$28, 'Income Statement'!$J14:$BQ14)</f>
        <v>9744437.3563717771</v>
      </c>
      <c r="N14" s="12">
        <f ca="1" xml:space="preserve"> SUMIF( Time!$J347:$BQ347, Time!N$28, 'Income Statement'!$J14:$BQ14)</f>
        <v>15259051.383700849</v>
      </c>
      <c r="O14" s="12">
        <f ca="1" xml:space="preserve"> SUMIF( Time!$J347:$BQ347, Time!O$28, 'Income Statement'!$J14:$BQ14)</f>
        <v>21625904.72457315</v>
      </c>
      <c r="P14" s="12">
        <f ca="1" xml:space="preserve"> SUMIF( Time!$J347:$BQ347, Time!P$28, 'Income Statement'!$J14:$BQ14)</f>
        <v>33615050.141260736</v>
      </c>
      <c r="Q14" s="12">
        <f ca="1" xml:space="preserve"> SUMIF( Time!$J347:$BQ347, Time!Q$28, 'Income Statement'!$J14:$BQ14)</f>
        <v>51359075.415589534</v>
      </c>
      <c r="R14" s="12">
        <f ca="1" xml:space="preserve"> SUMIF( Time!$J347:$BQ347, Time!R$28, 'Income Statement'!$J14:$BQ14)</f>
        <v>75428825.828974783</v>
      </c>
      <c r="S14" s="12">
        <f ca="1" xml:space="preserve"> SUMIF( Time!$J347:$BQ347, Time!S$28, 'Income Statement'!$J14:$BQ14)</f>
        <v>106595475.81003007</v>
      </c>
    </row>
    <row r="16" spans="1:1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0</v>
      </c>
      <c r="I16" s="17">
        <f xml:space="preserve"> 'Supply Chain finance'!I$42</f>
        <v>0</v>
      </c>
      <c r="J16" s="10">
        <f ca="1" xml:space="preserve"> SUMIF( Time!$J347:$BQ347, Time!J$28, 'Supply Chain finance'!$J42:$BQ42)</f>
        <v>0</v>
      </c>
      <c r="K16" s="10">
        <f ca="1" xml:space="preserve"> SUMIF( Time!$J347:$BQ347, Time!K$28, 'Supply Chain finance'!$J42:$BQ42)</f>
        <v>0</v>
      </c>
      <c r="L16" s="10">
        <f ca="1" xml:space="preserve"> SUMIF( Time!$J347:$BQ347, Time!L$28, 'Supply Chain finance'!$J42:$BQ42)</f>
        <v>0</v>
      </c>
      <c r="M16" s="10">
        <f ca="1" xml:space="preserve"> SUMIF( Time!$J347:$BQ347, Time!M$28, 'Supply Chain finance'!$J42:$BQ42)</f>
        <v>0</v>
      </c>
      <c r="N16" s="10">
        <f ca="1" xml:space="preserve"> SUMIF( Time!$J347:$BQ347, Time!N$28, 'Supply Chain finance'!$J42:$BQ42)</f>
        <v>0</v>
      </c>
      <c r="O16" s="10">
        <f ca="1" xml:space="preserve"> SUMIF( Time!$J347:$BQ347, Time!O$28, 'Supply Chain finance'!$J42:$BQ42)</f>
        <v>0</v>
      </c>
      <c r="P16" s="10">
        <f ca="1" xml:space="preserve"> SUMIF( Time!$J347:$BQ347, Time!P$28, 'Supply Chain finance'!$J42:$BQ42)</f>
        <v>0</v>
      </c>
      <c r="Q16" s="10">
        <f ca="1" xml:space="preserve"> SUMIF( Time!$J347:$BQ347, Time!Q$28, 'Supply Chain finance'!$J42:$BQ42)</f>
        <v>0</v>
      </c>
      <c r="R16" s="10">
        <f ca="1" xml:space="preserve"> SUMIF( Time!$J347:$BQ347, Time!R$28, 'Supply Chain finance'!$J42:$BQ42)</f>
        <v>0</v>
      </c>
      <c r="S16" s="10">
        <f ca="1" xml:space="preserve"> SUMIF( Time!$J347:$BQ347, Time!S$28, 'Supply Chain finance'!$J42:$BQ42)</f>
        <v>0</v>
      </c>
    </row>
    <row r="17" spans="5:19">
      <c r="E17" s="17" t="str">
        <f xml:space="preserve"> 'Invoice finance'!E$41</f>
        <v xml:space="preserve">Invoice finance interest </v>
      </c>
      <c r="F17" s="17">
        <f xml:space="preserve"> 'Invoice finance'!F$41</f>
        <v>0</v>
      </c>
      <c r="G17" s="17" t="str">
        <f xml:space="preserve"> 'Invoice finance'!G$41</f>
        <v>GBP</v>
      </c>
      <c r="H17" s="44">
        <f ca="1" xml:space="preserve"> 'Invoice finance'!H$41</f>
        <v>0</v>
      </c>
      <c r="I17" s="17">
        <f xml:space="preserve"> 'Invoice finance'!I$41</f>
        <v>0</v>
      </c>
      <c r="J17" s="10">
        <f ca="1" xml:space="preserve"> SUMIF( Time!$J347:$BQ347, Time!J$28, 'Invoice finance'!$J41:$BQ41)</f>
        <v>0</v>
      </c>
      <c r="K17" s="10">
        <f ca="1" xml:space="preserve"> SUMIF( Time!$J347:$BQ347, Time!K$28, 'Invoice finance'!$J41:$BQ41)</f>
        <v>0</v>
      </c>
      <c r="L17" s="10">
        <f ca="1" xml:space="preserve"> SUMIF( Time!$J347:$BQ347, Time!L$28, 'Invoice finance'!$J41:$BQ41)</f>
        <v>0</v>
      </c>
      <c r="M17" s="10">
        <f ca="1" xml:space="preserve"> SUMIF( Time!$J347:$BQ347, Time!M$28, 'Invoice finance'!$J41:$BQ41)</f>
        <v>0</v>
      </c>
      <c r="N17" s="10">
        <f ca="1" xml:space="preserve"> SUMIF( Time!$J347:$BQ347, Time!N$28, 'Invoice finance'!$J41:$BQ41)</f>
        <v>0</v>
      </c>
      <c r="O17" s="10">
        <f ca="1" xml:space="preserve"> SUMIF( Time!$J347:$BQ347, Time!O$28, 'Invoice finance'!$J41:$BQ41)</f>
        <v>0</v>
      </c>
      <c r="P17" s="10">
        <f ca="1" xml:space="preserve"> SUMIF( Time!$J347:$BQ347, Time!P$28, 'Invoice finance'!$J41:$BQ41)</f>
        <v>0</v>
      </c>
      <c r="Q17" s="10">
        <f ca="1" xml:space="preserve"> SUMIF( Time!$J347:$BQ347, Time!Q$28, 'Invoice finance'!$J41:$BQ41)</f>
        <v>0</v>
      </c>
      <c r="R17" s="10">
        <f ca="1" xml:space="preserve"> SUMIF( Time!$J347:$BQ347, Time!R$28, 'Invoice finance'!$J41:$BQ41)</f>
        <v>0</v>
      </c>
      <c r="S17" s="10">
        <f ca="1" xml:space="preserve"> SUMIF( Time!$J347:$BQ347, Time!S$28, 'Invoice finance'!$J41:$BQ41)</f>
        <v>0</v>
      </c>
    </row>
    <row r="18" spans="5:19">
      <c r="E18" s="17" t="str">
        <f xml:space="preserve"> 'Asset Finance'!E$42</f>
        <v xml:space="preserve">Asset Finance interest </v>
      </c>
      <c r="F18" s="17">
        <f xml:space="preserve"> 'Asset Finance'!F$42</f>
        <v>0</v>
      </c>
      <c r="G18" s="17" t="str">
        <f xml:space="preserve"> 'Asset Finance'!G$42</f>
        <v>GBP</v>
      </c>
      <c r="H18" s="44">
        <f ca="1" xml:space="preserve"> 'Asset Finance'!H$42</f>
        <v>0</v>
      </c>
      <c r="I18" s="17">
        <f xml:space="preserve"> 'Asset Finance'!I$42</f>
        <v>0</v>
      </c>
      <c r="J18" s="10">
        <f ca="1" xml:space="preserve"> SUMIF( Time!$J347:$BQ347, Time!J$28, 'Asset Finance'!$J42:$BQ42)</f>
        <v>0</v>
      </c>
      <c r="K18" s="10">
        <f ca="1" xml:space="preserve"> SUMIF( Time!$J347:$BQ347, Time!K$28, 'Asset Finance'!$J42:$BQ42)</f>
        <v>0</v>
      </c>
      <c r="L18" s="10">
        <f ca="1" xml:space="preserve"> SUMIF( Time!$J347:$BQ347, Time!L$28, 'Asset Finance'!$J42:$BQ42)</f>
        <v>0</v>
      </c>
      <c r="M18" s="10">
        <f ca="1" xml:space="preserve"> SUMIF( Time!$J347:$BQ347, Time!M$28, 'Asset Finance'!$J42:$BQ42)</f>
        <v>0</v>
      </c>
      <c r="N18" s="10">
        <f ca="1" xml:space="preserve"> SUMIF( Time!$J347:$BQ347, Time!N$28, 'Asset Finance'!$J42:$BQ42)</f>
        <v>0</v>
      </c>
      <c r="O18" s="10">
        <f ca="1" xml:space="preserve"> SUMIF( Time!$J347:$BQ347, Time!O$28, 'Asset Finance'!$J42:$BQ42)</f>
        <v>0</v>
      </c>
      <c r="P18" s="10">
        <f ca="1" xml:space="preserve"> SUMIF( Time!$J347:$BQ347, Time!P$28, 'Asset Finance'!$J42:$BQ42)</f>
        <v>0</v>
      </c>
      <c r="Q18" s="10">
        <f ca="1" xml:space="preserve"> SUMIF( Time!$J347:$BQ347, Time!Q$28, 'Asset Finance'!$J42:$BQ42)</f>
        <v>0</v>
      </c>
      <c r="R18" s="10">
        <f ca="1" xml:space="preserve"> SUMIF( Time!$J347:$BQ347, Time!R$28, 'Asset Finance'!$J42:$BQ42)</f>
        <v>0</v>
      </c>
      <c r="S18" s="10">
        <f ca="1" xml:space="preserve"> SUMIF( Time!$J347:$BQ347, Time!S$28, 'Asset Finance'!$J42:$BQ42)</f>
        <v>0</v>
      </c>
    </row>
    <row r="19" spans="5:19">
      <c r="E19" s="12" t="s">
        <v>181</v>
      </c>
      <c r="F19" s="30"/>
      <c r="G19" s="12" t="s">
        <v>257</v>
      </c>
      <c r="H19" s="54">
        <f ca="1" xml:space="preserve"> SUM( J19:BQ19 )</f>
        <v>323600885.07615191</v>
      </c>
      <c r="I19" s="30"/>
      <c r="J19" s="12">
        <f ca="1" xml:space="preserve"> SUMIF( Time!$J347:$BQ347, Time!J$28, 'Income Statement'!$J19:$BQ19)</f>
        <v>-89115.237220703246</v>
      </c>
      <c r="K19" s="12">
        <f ca="1" xml:space="preserve"> SUMIF( Time!$J347:$BQ347, Time!K$28, 'Income Statement'!$J19:$BQ19)</f>
        <v>2109287.0473207277</v>
      </c>
      <c r="L19" s="12">
        <f ca="1" xml:space="preserve"> SUMIF( Time!$J347:$BQ347, Time!L$28, 'Income Statement'!$J19:$BQ19)</f>
        <v>7952892.6055509709</v>
      </c>
      <c r="M19" s="12">
        <f ca="1" xml:space="preserve"> SUMIF( Time!$J347:$BQ347, Time!M$28, 'Income Statement'!$J19:$BQ19)</f>
        <v>9744437.3563717771</v>
      </c>
      <c r="N19" s="12">
        <f ca="1" xml:space="preserve"> SUMIF( Time!$J347:$BQ347, Time!N$28, 'Income Statement'!$J19:$BQ19)</f>
        <v>15259051.383700849</v>
      </c>
      <c r="O19" s="12">
        <f ca="1" xml:space="preserve"> SUMIF( Time!$J347:$BQ347, Time!O$28, 'Income Statement'!$J19:$BQ19)</f>
        <v>21625904.72457315</v>
      </c>
      <c r="P19" s="12">
        <f ca="1" xml:space="preserve"> SUMIF( Time!$J347:$BQ347, Time!P$28, 'Income Statement'!$J19:$BQ19)</f>
        <v>33615050.141260736</v>
      </c>
      <c r="Q19" s="12">
        <f ca="1" xml:space="preserve"> SUMIF( Time!$J347:$BQ347, Time!Q$28, 'Income Statement'!$J19:$BQ19)</f>
        <v>51359075.415589534</v>
      </c>
      <c r="R19" s="12">
        <f ca="1" xml:space="preserve"> SUMIF( Time!$J347:$BQ347, Time!R$28, 'Income Statement'!$J19:$BQ19)</f>
        <v>75428825.828974783</v>
      </c>
      <c r="S19" s="12">
        <f ca="1" xml:space="preserve"> SUMIF( Time!$J347:$BQ347, Time!S$28, 'Income Statement'!$J19:$BQ19)</f>
        <v>106595475.81003007</v>
      </c>
    </row>
    <row r="21" spans="5:19">
      <c r="E21" s="17" t="str">
        <f xml:space="preserve"> 'Corporation tax'!E$48</f>
        <v xml:space="preserve">Corporation tax </v>
      </c>
      <c r="F21" s="17">
        <f xml:space="preserve"> 'Corporation tax'!F$48</f>
        <v>0</v>
      </c>
      <c r="G21" s="17" t="str">
        <f xml:space="preserve"> 'Corporation tax'!G$48</f>
        <v>GBP</v>
      </c>
      <c r="H21" s="44">
        <f ca="1" xml:space="preserve"> 'Corporation tax'!H$48</f>
        <v>-68118879.460795701</v>
      </c>
      <c r="I21" s="17">
        <f xml:space="preserve"> 'Corporation tax'!I$48</f>
        <v>0</v>
      </c>
      <c r="J21" s="10">
        <f ca="1" xml:space="preserve"> SUMIF( Time!$J347:$BQ347, Time!J$28, 'Corporation tax'!$J48:$BQ48)</f>
        <v>0</v>
      </c>
      <c r="K21" s="10">
        <f ca="1" xml:space="preserve"> SUMIF( Time!$J347:$BQ347, Time!K$28, 'Corporation tax'!$J48:$BQ48)</f>
        <v>-450976.02868667158</v>
      </c>
      <c r="L21" s="10">
        <f ca="1" xml:space="preserve"> SUMIF( Time!$J347:$BQ347, Time!L$28, 'Corporation tax'!$J48:$BQ48)</f>
        <v>-1673703.5211101945</v>
      </c>
      <c r="M21" s="10">
        <f ca="1" xml:space="preserve"> SUMIF( Time!$J347:$BQ347, Time!M$28, 'Corporation tax'!$J48:$BQ48)</f>
        <v>-2046595.8046076889</v>
      </c>
      <c r="N21" s="10">
        <f ca="1" xml:space="preserve"> SUMIF( Time!$J347:$BQ347, Time!N$28, 'Corporation tax'!$J48:$BQ48)</f>
        <v>-3208726.9434068371</v>
      </c>
      <c r="O21" s="10">
        <f ca="1" xml:space="preserve"> SUMIF( Time!$J347:$BQ347, Time!O$28, 'Corporation tax'!$J48:$BQ48)</f>
        <v>-4557055.9449146306</v>
      </c>
      <c r="P21" s="10">
        <f ca="1" xml:space="preserve"> SUMIF( Time!$J347:$BQ347, Time!P$28, 'Corporation tax'!$J48:$BQ48)</f>
        <v>-7079121.2222629786</v>
      </c>
      <c r="Q21" s="10">
        <f ca="1" xml:space="preserve"> SUMIF( Time!$J347:$BQ347, Time!Q$28, 'Corporation tax'!$J48:$BQ48)</f>
        <v>-10806704.767808633</v>
      </c>
      <c r="R21" s="10">
        <f ca="1" xml:space="preserve"> SUMIF( Time!$J347:$BQ347, Time!R$28, 'Corporation tax'!$J48:$BQ48)</f>
        <v>-15868916.625213606</v>
      </c>
      <c r="S21" s="10">
        <f ca="1" xml:space="preserve"> SUMIF( Time!$J347:$BQ347, Time!S$28, 'Corporation tax'!$J48:$BQ48)</f>
        <v>-22427078.602784459</v>
      </c>
    </row>
    <row r="22" spans="5:19">
      <c r="E22" s="12" t="s">
        <v>38</v>
      </c>
      <c r="F22" s="30"/>
      <c r="G22" s="12" t="s">
        <v>257</v>
      </c>
      <c r="H22" s="54">
        <f ca="1" xml:space="preserve"> SUM( J22:BQ22 )</f>
        <v>255482005.61535615</v>
      </c>
      <c r="I22" s="30"/>
      <c r="J22" s="12">
        <f ca="1" xml:space="preserve"> SUMIF( Time!$J347:$BQ347, Time!J$28, 'Income Statement'!$J22:$BQ22)</f>
        <v>-89115.237220703246</v>
      </c>
      <c r="K22" s="12">
        <f ca="1" xml:space="preserve"> SUMIF( Time!$J347:$BQ347, Time!K$28, 'Income Statement'!$J22:$BQ22)</f>
        <v>1658311.0186340562</v>
      </c>
      <c r="L22" s="12">
        <f ca="1" xml:space="preserve"> SUMIF( Time!$J347:$BQ347, Time!L$28, 'Income Statement'!$J22:$BQ22)</f>
        <v>6279189.0844407771</v>
      </c>
      <c r="M22" s="12">
        <f ca="1" xml:space="preserve"> SUMIF( Time!$J347:$BQ347, Time!M$28, 'Income Statement'!$J22:$BQ22)</f>
        <v>7697841.5517640878</v>
      </c>
      <c r="N22" s="12">
        <f ca="1" xml:space="preserve"> SUMIF( Time!$J347:$BQ347, Time!N$28, 'Income Statement'!$J22:$BQ22)</f>
        <v>12050324.440294012</v>
      </c>
      <c r="O22" s="12">
        <f ca="1" xml:space="preserve"> SUMIF( Time!$J347:$BQ347, Time!O$28, 'Income Statement'!$J22:$BQ22)</f>
        <v>17068848.779658519</v>
      </c>
      <c r="P22" s="12">
        <f ca="1" xml:space="preserve"> SUMIF( Time!$J347:$BQ347, Time!P$28, 'Income Statement'!$J22:$BQ22)</f>
        <v>26535928.918997757</v>
      </c>
      <c r="Q22" s="12">
        <f ca="1" xml:space="preserve"> SUMIF( Time!$J347:$BQ347, Time!Q$28, 'Income Statement'!$J22:$BQ22)</f>
        <v>40552370.647780903</v>
      </c>
      <c r="R22" s="12">
        <f ca="1" xml:space="preserve"> SUMIF( Time!$J347:$BQ347, Time!R$28, 'Income Statement'!$J22:$BQ22)</f>
        <v>59559909.20376116</v>
      </c>
      <c r="S22" s="12">
        <f ca="1" xml:space="preserve"> SUMIF( Time!$J347:$BQ347, Time!S$28, 'Income Statement'!$J22:$BQ22)</f>
        <v>84168397.207245603</v>
      </c>
    </row>
  </sheetData>
  <conditionalFormatting sqref="F2:F3">
    <cfRule type="cellIs" dxfId="98" priority="1" stopIfTrue="1" operator="notEqual">
      <formula>0</formula>
    </cfRule>
    <cfRule type="cellIs" dxfId="97" priority="2" stopIfTrue="1" operator="equal">
      <formula>""</formula>
    </cfRule>
  </conditionalFormatting>
  <conditionalFormatting sqref="J3:S3">
    <cfRule type="cellIs" dxfId="96" priority="3" operator="equal">
      <formula>"PPA ext."</formula>
    </cfRule>
    <cfRule type="cellIs" dxfId="95" priority="4" operator="equal">
      <formula>"Delay"</formula>
    </cfRule>
    <cfRule type="cellIs" dxfId="94" priority="5" operator="equal">
      <formula>"Fin Close"</formula>
    </cfRule>
    <cfRule type="cellIs" dxfId="93" priority="6" stopIfTrue="1" operator="equal">
      <formula>"Construction"</formula>
    </cfRule>
    <cfRule type="cellIs" dxfId="9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777343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3.21875" bestFit="1" customWidth="1"/>
    <col min="21" max="21" width="11.77734375" bestFit="1" customWidth="1"/>
    <col min="22" max="45" width="13.21875" bestFit="1" customWidth="1"/>
    <col min="46" max="69" width="14.44140625" bestFit="1" customWidth="1"/>
  </cols>
  <sheetData>
    <row r="1" spans="1:69" s="72" customFormat="1" ht="25">
      <c r="A1" s="46" t="str">
        <f ca="1" xml:space="preserve"> RIGHT(CELL("filename", A1), LEN(CELL("filename", A1)) - SEARCH("]", CELL("filename", A1)))</f>
        <v>Balance Sheet</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Assets!E$24</f>
        <v>Inventory</v>
      </c>
      <c r="F8" s="17">
        <f xml:space="preserve"> Assets!F$24</f>
        <v>0</v>
      </c>
      <c r="G8" s="17" t="str">
        <f xml:space="preserve"> Assets!G$24</f>
        <v>GBP</v>
      </c>
      <c r="H8" s="44">
        <f xml:space="preserve"> Assets!H$24</f>
        <v>0</v>
      </c>
      <c r="I8" s="17">
        <f xml:space="preserve"> Assets!I$24</f>
        <v>0</v>
      </c>
      <c r="J8" s="10">
        <f ca="1">Assets!J$24</f>
        <v>0</v>
      </c>
      <c r="K8" s="10">
        <f ca="1">Assets!K$24</f>
        <v>0</v>
      </c>
      <c r="L8" s="10">
        <f ca="1">Assets!L$24</f>
        <v>350000</v>
      </c>
      <c r="M8" s="10">
        <f ca="1">Assets!M$24</f>
        <v>700000</v>
      </c>
      <c r="N8" s="10">
        <f ca="1">Assets!N$24</f>
        <v>1050000</v>
      </c>
      <c r="O8" s="10">
        <f ca="1">Assets!O$24</f>
        <v>1050000</v>
      </c>
      <c r="P8" s="10">
        <f ca="1">Assets!P$24</f>
        <v>1400000</v>
      </c>
      <c r="Q8" s="10">
        <f ca="1">Assets!Q$24</f>
        <v>1400000</v>
      </c>
      <c r="R8" s="10">
        <f ca="1">Assets!R$24</f>
        <v>1750000</v>
      </c>
      <c r="S8" s="10">
        <f ca="1">Assets!S$24</f>
        <v>1750000</v>
      </c>
      <c r="T8" s="10">
        <f ca="1">Assets!T$24</f>
        <v>1750000</v>
      </c>
      <c r="U8" s="10">
        <f ca="1">Assets!U$24</f>
        <v>1750000</v>
      </c>
      <c r="V8" s="10">
        <f ca="1">Assets!V$24</f>
        <v>1750000</v>
      </c>
      <c r="W8" s="10">
        <f ca="1">Assets!W$24</f>
        <v>1750000</v>
      </c>
      <c r="X8" s="10">
        <f ca="1">Assets!X$24</f>
        <v>1925000</v>
      </c>
      <c r="Y8" s="10">
        <f ca="1">Assets!Y$24</f>
        <v>2100000</v>
      </c>
      <c r="Z8" s="10">
        <f ca="1">Assets!Z$24</f>
        <v>2275000</v>
      </c>
      <c r="AA8" s="10">
        <f ca="1">Assets!AA$24</f>
        <v>2625000</v>
      </c>
      <c r="AB8" s="10">
        <f ca="1">Assets!AB$24</f>
        <v>2800000</v>
      </c>
      <c r="AC8" s="10">
        <f ca="1">Assets!AC$24</f>
        <v>3150000</v>
      </c>
      <c r="AD8" s="10">
        <f ca="1">Assets!AD$24</f>
        <v>3325000</v>
      </c>
      <c r="AE8" s="10">
        <f ca="1">Assets!AE$24</f>
        <v>3675000</v>
      </c>
      <c r="AF8" s="10">
        <f ca="1">Assets!AF$24</f>
        <v>4025000</v>
      </c>
      <c r="AG8" s="10">
        <f ca="1">Assets!AG$24</f>
        <v>4375000</v>
      </c>
      <c r="AH8" s="10">
        <f ca="1">Assets!AH$24</f>
        <v>4690000</v>
      </c>
      <c r="AI8" s="10">
        <f ca="1">Assets!AI$24</f>
        <v>5180000</v>
      </c>
      <c r="AJ8" s="10">
        <f ca="1">Assets!AJ$24</f>
        <v>5495000</v>
      </c>
      <c r="AK8" s="10">
        <f ca="1">Assets!AK$24</f>
        <v>5985000</v>
      </c>
      <c r="AL8" s="10">
        <f ca="1">Assets!AL$24</f>
        <v>6405000</v>
      </c>
      <c r="AM8" s="10">
        <f ca="1">Assets!AM$24</f>
        <v>7000000</v>
      </c>
      <c r="AN8" s="10">
        <f ca="1">Assets!AN$24</f>
        <v>7420000</v>
      </c>
      <c r="AO8" s="10">
        <f ca="1">Assets!AO$24</f>
        <v>7945000</v>
      </c>
      <c r="AP8" s="10">
        <f ca="1">Assets!AP$24</f>
        <v>8645000</v>
      </c>
      <c r="AQ8" s="10">
        <f ca="1">Assets!AQ$24</f>
        <v>9170000</v>
      </c>
      <c r="AR8" s="10">
        <f ca="1">Assets!AR$24</f>
        <v>9870000</v>
      </c>
      <c r="AS8" s="10">
        <f ca="1">Assets!AS$24</f>
        <v>10570000</v>
      </c>
      <c r="AT8" s="10">
        <f ca="1">Assets!AT$24</f>
        <v>11259593.958487123</v>
      </c>
      <c r="AU8" s="10">
        <f ca="1">Assets!AU$24</f>
        <v>11938163.100032983</v>
      </c>
      <c r="AV8" s="10">
        <f ca="1">Assets!AV$24</f>
        <v>12780051.854907507</v>
      </c>
      <c r="AW8" s="10">
        <f ca="1">Assets!AW$24</f>
        <v>13609565.671175905</v>
      </c>
      <c r="AX8" s="10">
        <f ca="1">Assets!AX$24</f>
        <v>14600968.696696149</v>
      </c>
      <c r="AY8" s="10">
        <f ca="1">Assets!AY$24</f>
        <v>15578481.323280858</v>
      </c>
      <c r="AZ8" s="10">
        <f ca="1">Assets!AZ$24</f>
        <v>16541277.584827438</v>
      </c>
      <c r="BA8" s="10">
        <f ca="1">Assets!BA$24</f>
        <v>17663482.400733002</v>
      </c>
      <c r="BB8" s="10">
        <f ca="1">Assets!BB$24</f>
        <v>18769168.6553942</v>
      </c>
      <c r="BC8" s="10">
        <f ca="1">Assets!BC$24</f>
        <v>20032354.104045082</v>
      </c>
      <c r="BD8" s="10">
        <f ca="1">Assets!BD$24</f>
        <v>21276998.094606489</v>
      </c>
      <c r="BE8" s="10">
        <f ca="1">Assets!BE$24</f>
        <v>22676998.094606489</v>
      </c>
      <c r="BF8" s="10">
        <f ca="1">Assets!BF$24</f>
        <v>24024686.011580735</v>
      </c>
      <c r="BG8" s="10">
        <f ca="1">Assets!BG$24</f>
        <v>25525324.294672456</v>
      </c>
      <c r="BH8" s="10">
        <f ca="1">Assets!BH$24</f>
        <v>27177601.804421503</v>
      </c>
      <c r="BI8" s="10">
        <f ca="1">Assets!BI$24</f>
        <v>28805129.436958298</v>
      </c>
      <c r="BJ8" s="10">
        <f ca="1">Assets!BJ$24</f>
        <v>30518435.487998787</v>
      </c>
      <c r="BK8" s="10">
        <f ca="1">Assets!BK$24</f>
        <v>32378960.741168205</v>
      </c>
      <c r="BL8" s="10">
        <f ca="1">Assets!BL$24</f>
        <v>34385053.264261365</v>
      </c>
      <c r="BM8" s="10">
        <f ca="1">Assets!BM$24</f>
        <v>36296962.896072492</v>
      </c>
      <c r="BN8" s="10">
        <f ca="1">Assets!BN$24</f>
        <v>38525835.405394889</v>
      </c>
      <c r="BO8" s="10">
        <f ca="1">Assets!BO$24</f>
        <v>40719706.302696653</v>
      </c>
      <c r="BP8" s="10">
        <f ca="1">Assets!BP$24</f>
        <v>43226494.283819467</v>
      </c>
      <c r="BQ8" s="10">
        <f ca="1">Assets!BQ$24</f>
        <v>45868994.283819467</v>
      </c>
    </row>
    <row r="9" spans="1:69">
      <c r="E9" s="17" t="str">
        <f xml:space="preserve"> Assets!E$34</f>
        <v xml:space="preserve">Depreciation </v>
      </c>
      <c r="F9" s="17">
        <f xml:space="preserve"> Assets!F$34</f>
        <v>0</v>
      </c>
      <c r="G9" s="17" t="str">
        <f xml:space="preserve"> Assets!G$34</f>
        <v>GBP</v>
      </c>
      <c r="H9" s="44">
        <f xml:space="preserve"> Assets!H$34</f>
        <v>0</v>
      </c>
      <c r="I9" s="17">
        <f xml:space="preserve"> Assets!I$34</f>
        <v>0</v>
      </c>
      <c r="J9" s="10">
        <f ca="1">Assets!J$34</f>
        <v>0</v>
      </c>
      <c r="K9" s="10">
        <f ca="1">Assets!K$34</f>
        <v>-7291.666666666667</v>
      </c>
      <c r="L9" s="10">
        <f ca="1">Assets!L$34</f>
        <v>0</v>
      </c>
      <c r="M9" s="10">
        <f ca="1">Assets!M$34</f>
        <v>7291.666666666667</v>
      </c>
      <c r="N9" s="10">
        <f ca="1">Assets!N$34</f>
        <v>14583.333333333334</v>
      </c>
      <c r="O9" s="10">
        <f ca="1">Assets!O$34</f>
        <v>-7291.6666666666661</v>
      </c>
      <c r="P9" s="10">
        <f ca="1">Assets!P$34</f>
        <v>-14583.333333333332</v>
      </c>
      <c r="Q9" s="10">
        <f ca="1">Assets!Q$34</f>
        <v>-36458.333333333328</v>
      </c>
      <c r="R9" s="10">
        <f ca="1">Assets!R$34</f>
        <v>-43749.999999999993</v>
      </c>
      <c r="S9" s="10">
        <f ca="1">Assets!S$34</f>
        <v>-80208.333333333328</v>
      </c>
      <c r="T9" s="10">
        <f ca="1">Assets!T$34</f>
        <v>-116666.66666666666</v>
      </c>
      <c r="U9" s="10">
        <f ca="1">Assets!U$34</f>
        <v>-167708.33333333331</v>
      </c>
      <c r="V9" s="10">
        <f ca="1">Assets!V$34</f>
        <v>-233333.33333333331</v>
      </c>
      <c r="W9" s="10">
        <f ca="1">Assets!W$34</f>
        <v>-298958.33333333331</v>
      </c>
      <c r="X9" s="10">
        <f ca="1">Assets!X$34</f>
        <v>-371875</v>
      </c>
      <c r="Y9" s="10">
        <f ca="1">Assets!Y$34</f>
        <v>-444791.66666666669</v>
      </c>
      <c r="Z9" s="10">
        <f ca="1">Assets!Z$34</f>
        <v>-517708.33333333337</v>
      </c>
      <c r="AA9" s="10">
        <f ca="1">Assets!AA$34</f>
        <v>-583333.33333333337</v>
      </c>
      <c r="AB9" s="10">
        <f ca="1">Assets!AB$34</f>
        <v>-656250</v>
      </c>
      <c r="AC9" s="10">
        <f ca="1">Assets!AC$34</f>
        <v>-721875</v>
      </c>
      <c r="AD9" s="10">
        <f ca="1">Assets!AD$34</f>
        <v>-802083.33333333337</v>
      </c>
      <c r="AE9" s="10">
        <f ca="1">Assets!AE$34</f>
        <v>-882291.66666666674</v>
      </c>
      <c r="AF9" s="10">
        <f ca="1">Assets!AF$34</f>
        <v>-969791.66666666674</v>
      </c>
      <c r="AG9" s="10">
        <f ca="1">Assets!AG$34</f>
        <v>-1071875</v>
      </c>
      <c r="AH9" s="10">
        <f ca="1">Assets!AH$34</f>
        <v>-1146250</v>
      </c>
      <c r="AI9" s="10">
        <f ca="1">Assets!AI$34</f>
        <v>-1226458.3333333333</v>
      </c>
      <c r="AJ9" s="10">
        <f ca="1">Assets!AJ$34</f>
        <v>-1319791.6666666665</v>
      </c>
      <c r="AK9" s="10">
        <f ca="1">Assets!AK$34</f>
        <v>-1418958.3333333333</v>
      </c>
      <c r="AL9" s="10">
        <f ca="1">Assets!AL$34</f>
        <v>-1461250</v>
      </c>
      <c r="AM9" s="10">
        <f ca="1">Assets!AM$34</f>
        <v>-1506458.3333333333</v>
      </c>
      <c r="AN9" s="10">
        <f ca="1">Assets!AN$34</f>
        <v>-1569166.6666666665</v>
      </c>
      <c r="AO9" s="10">
        <f ca="1">Assets!AO$34</f>
        <v>-1572083.3333333333</v>
      </c>
      <c r="AP9" s="10">
        <f ca="1">Assets!AP$34</f>
        <v>-1575000</v>
      </c>
      <c r="AQ9" s="10">
        <f ca="1">Assets!AQ$34</f>
        <v>-1599791.6666666667</v>
      </c>
      <c r="AR9" s="10">
        <f ca="1">Assets!AR$34</f>
        <v>-1631875</v>
      </c>
      <c r="AS9" s="10">
        <f ca="1">Assets!AS$34</f>
        <v>-1685833.3333333333</v>
      </c>
      <c r="AT9" s="10">
        <f ca="1">Assets!AT$34</f>
        <v>-1743968.9584871233</v>
      </c>
      <c r="AU9" s="10">
        <f ca="1">Assets!AU$34</f>
        <v>-1812521.1816366133</v>
      </c>
      <c r="AV9" s="10">
        <f ca="1">Assets!AV$34</f>
        <v>-1890375.0656791781</v>
      </c>
      <c r="AW9" s="10">
        <f ca="1">Assets!AW$34</f>
        <v>-1976349.3759020546</v>
      </c>
      <c r="AX9" s="10">
        <f ca="1">Assets!AX$34</f>
        <v>-2069192.6377212948</v>
      </c>
      <c r="AY9" s="10">
        <f ca="1">Assets!AY$34</f>
        <v>-2174870.6266683424</v>
      </c>
      <c r="AZ9" s="10">
        <f ca="1">Assets!AZ$34</f>
        <v>-2291978.610018292</v>
      </c>
      <c r="BA9" s="10">
        <f ca="1">Assets!BA$34</f>
        <v>-2411736.6586250002</v>
      </c>
      <c r="BB9" s="10">
        <f ca="1">Assets!BB$34</f>
        <v>-2547151.3466500752</v>
      </c>
      <c r="BC9" s="10">
        <f ca="1">Assets!BC$34</f>
        <v>-2689260.4892757148</v>
      </c>
      <c r="BD9" s="10">
        <f ca="1">Assets!BD$34</f>
        <v>-2850877.567505667</v>
      </c>
      <c r="BE9" s="10">
        <f ca="1">Assets!BE$34</f>
        <v>-3022835.8214476039</v>
      </c>
      <c r="BF9" s="10">
        <f ca="1">Assets!BF$34</f>
        <v>-3178940.3256971207</v>
      </c>
      <c r="BG9" s="10">
        <f ca="1">Assets!BG$34</f>
        <v>-3347273.8592713708</v>
      </c>
      <c r="BH9" s="10">
        <f ca="1">Assets!BH$34</f>
        <v>-3525606.5479651038</v>
      </c>
      <c r="BI9" s="10">
        <f ca="1">Assets!BI$34</f>
        <v>-3726159.2556861276</v>
      </c>
      <c r="BJ9" s="10">
        <f ca="1">Assets!BJ$34</f>
        <v>-3876137.3665998778</v>
      </c>
      <c r="BK9" s="10">
        <f ca="1">Assets!BK$34</f>
        <v>-4040555.7651025774</v>
      </c>
      <c r="BL9" s="10">
        <f ca="1">Assets!BL$34</f>
        <v>-4216604.9857444139</v>
      </c>
      <c r="BM9" s="10">
        <f ca="1">Assets!BM$34</f>
        <v>-4352891.8368997676</v>
      </c>
      <c r="BN9" s="10">
        <f ca="1">Assets!BN$34</f>
        <v>-4499346.133558521</v>
      </c>
      <c r="BO9" s="10">
        <f ca="1">Assets!BO$34</f>
        <v>-4667210.1727517368</v>
      </c>
      <c r="BP9" s="10">
        <f ca="1">Assets!BP$34</f>
        <v>-4845652.5831535785</v>
      </c>
      <c r="BQ9" s="10">
        <f ca="1">Assets!BQ$34</f>
        <v>-5045506.5116460565</v>
      </c>
    </row>
    <row r="10" spans="1:6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'Working Capital'!J$45</f>
        <v>0</v>
      </c>
      <c r="K10" s="10">
        <f ca="1">'Working Capital'!K$45</f>
        <v>0</v>
      </c>
      <c r="L10" s="10">
        <f ca="1">'Working Capital'!L$45</f>
        <v>1008000</v>
      </c>
      <c r="M10" s="10">
        <f ca="1">'Working Capital'!M$45</f>
        <v>1512000</v>
      </c>
      <c r="N10" s="10">
        <f ca="1">'Working Capital'!N$45</f>
        <v>1008000</v>
      </c>
      <c r="O10" s="10">
        <f ca="1">'Working Capital'!O$45</f>
        <v>1008000</v>
      </c>
      <c r="P10" s="10">
        <f ca="1">'Working Capital'!P$45</f>
        <v>3024000</v>
      </c>
      <c r="Q10" s="10">
        <f ca="1">'Working Capital'!Q$45</f>
        <v>4032000</v>
      </c>
      <c r="R10" s="10">
        <f ca="1">'Working Capital'!R$45</f>
        <v>2520000</v>
      </c>
      <c r="S10" s="10">
        <f ca="1">'Working Capital'!S$45</f>
        <v>1008000</v>
      </c>
      <c r="T10" s="10">
        <f ca="1">'Working Capital'!T$45</f>
        <v>5040000</v>
      </c>
      <c r="U10" s="10">
        <f ca="1">'Working Capital'!U$45</f>
        <v>5040000</v>
      </c>
      <c r="V10" s="10">
        <f ca="1">'Working Capital'!V$45</f>
        <v>5040000</v>
      </c>
      <c r="W10" s="10">
        <f ca="1">'Working Capital'!W$45</f>
        <v>9221846.997785423</v>
      </c>
      <c r="X10" s="10">
        <f ca="1">'Working Capital'!X$45</f>
        <v>6048000</v>
      </c>
      <c r="Y10" s="10">
        <f ca="1">'Working Capital'!Y$45</f>
        <v>7337406.2915464751</v>
      </c>
      <c r="Z10" s="10">
        <f ca="1">'Working Capital'!Z$45</f>
        <v>6048000</v>
      </c>
      <c r="AA10" s="10">
        <f ca="1">'Working Capital'!AA$45</f>
        <v>1080746.710668101</v>
      </c>
      <c r="AB10" s="10">
        <f ca="1">'Working Capital'!AB$45</f>
        <v>3024000.0000000005</v>
      </c>
      <c r="AC10" s="10">
        <f ca="1">'Working Capital'!AC$45</f>
        <v>4032000</v>
      </c>
      <c r="AD10" s="10">
        <f ca="1">'Working Capital'!AD$45</f>
        <v>2520000</v>
      </c>
      <c r="AE10" s="10">
        <f ca="1">'Working Capital'!AE$45</f>
        <v>3528000</v>
      </c>
      <c r="AF10" s="10">
        <f ca="1">'Working Capital'!AF$45</f>
        <v>10080000</v>
      </c>
      <c r="AG10" s="10">
        <f ca="1">'Working Capital'!AG$45</f>
        <v>10080000</v>
      </c>
      <c r="AH10" s="10">
        <f ca="1">'Working Capital'!AH$45</f>
        <v>12600000</v>
      </c>
      <c r="AI10" s="10">
        <f ca="1">'Working Capital'!AI$45</f>
        <v>16781846.997785427</v>
      </c>
      <c r="AJ10" s="10">
        <f ca="1">'Working Capital'!AJ$45</f>
        <v>12600000</v>
      </c>
      <c r="AK10" s="10">
        <f ca="1">'Working Capital'!AK$45</f>
        <v>13385406.291546475</v>
      </c>
      <c r="AL10" s="10">
        <f ca="1">'Working Capital'!AL$45</f>
        <v>12600000</v>
      </c>
      <c r="AM10" s="10">
        <f ca="1">'Working Capital'!AM$45</f>
        <v>10152746.710668102</v>
      </c>
      <c r="AN10" s="10">
        <f ca="1">'Working Capital'!AN$45</f>
        <v>10080000</v>
      </c>
      <c r="AO10" s="10">
        <f ca="1">'Working Capital'!AO$45</f>
        <v>10080000</v>
      </c>
      <c r="AP10" s="10">
        <f ca="1">'Working Capital'!AP$45</f>
        <v>12600000</v>
      </c>
      <c r="AQ10" s="10">
        <f ca="1">'Working Capital'!AQ$45</f>
        <v>15120000</v>
      </c>
      <c r="AR10" s="10">
        <f ca="1">'Working Capital'!AR$45</f>
        <v>17640000</v>
      </c>
      <c r="AS10" s="10">
        <f ca="1">'Working Capital'!AS$45</f>
        <v>20160000</v>
      </c>
      <c r="AT10" s="10">
        <f ca="1">'Working Capital'!AT$45</f>
        <v>25200000</v>
      </c>
      <c r="AU10" s="10">
        <f ca="1">'Working Capital'!AU$45</f>
        <v>25200000</v>
      </c>
      <c r="AV10" s="10">
        <f ca="1">'Working Capital'!AV$45</f>
        <v>25200000</v>
      </c>
      <c r="AW10" s="10">
        <f ca="1">'Working Capital'!AW$45</f>
        <v>30240000</v>
      </c>
      <c r="AX10" s="10">
        <f ca="1">'Working Capital'!AX$45</f>
        <v>30240000</v>
      </c>
      <c r="AY10" s="10">
        <f ca="1">'Working Capital'!AY$45</f>
        <v>32760000</v>
      </c>
      <c r="AZ10" s="10">
        <f ca="1">'Working Capital'!AZ$45</f>
        <v>35280000</v>
      </c>
      <c r="BA10" s="10">
        <f ca="1">'Working Capital'!BA$45</f>
        <v>35280000</v>
      </c>
      <c r="BB10" s="10">
        <f ca="1">'Working Capital'!BB$45</f>
        <v>37800000</v>
      </c>
      <c r="BC10" s="10">
        <f ca="1">'Working Capital'!BC$45</f>
        <v>40320000</v>
      </c>
      <c r="BD10" s="10">
        <f ca="1">'Working Capital'!BD$45</f>
        <v>42840000</v>
      </c>
      <c r="BE10" s="10">
        <f ca="1">'Working Capital'!BE$45</f>
        <v>47880000</v>
      </c>
      <c r="BF10" s="10">
        <f ca="1">'Working Capital'!BF$45</f>
        <v>52920000</v>
      </c>
      <c r="BG10" s="10">
        <f ca="1">'Working Capital'!BG$45</f>
        <v>52920000</v>
      </c>
      <c r="BH10" s="10">
        <f ca="1">'Working Capital'!BH$45</f>
        <v>55440000</v>
      </c>
      <c r="BI10" s="10">
        <f ca="1">'Working Capital'!BI$45</f>
        <v>63000000</v>
      </c>
      <c r="BJ10" s="10">
        <f ca="1">'Working Capital'!BJ$45</f>
        <v>65520000</v>
      </c>
      <c r="BK10" s="10">
        <f ca="1">'Working Capital'!BK$45</f>
        <v>68040000</v>
      </c>
      <c r="BL10" s="10">
        <f ca="1">'Working Capital'!BL$45</f>
        <v>73080000</v>
      </c>
      <c r="BM10" s="10">
        <f ca="1">'Working Capital'!BM$45</f>
        <v>75600000</v>
      </c>
      <c r="BN10" s="10">
        <f ca="1">'Working Capital'!BN$45</f>
        <v>78120000</v>
      </c>
      <c r="BO10" s="10">
        <f ca="1">'Working Capital'!BO$45</f>
        <v>85680000</v>
      </c>
      <c r="BP10" s="10">
        <f ca="1">'Working Capital'!BP$45</f>
        <v>90720000</v>
      </c>
      <c r="BQ10" s="10">
        <f ca="1">'Working Capital'!BQ$45</f>
        <v>95760000</v>
      </c>
    </row>
    <row r="11" spans="1:6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Financials!J$13</f>
        <v>-73700</v>
      </c>
      <c r="K11" s="10">
        <f ca="1">Financials!K$13</f>
        <v>-147400</v>
      </c>
      <c r="L11" s="10">
        <f ca="1">Financials!L$13</f>
        <v>-312700</v>
      </c>
      <c r="M11" s="10">
        <f ca="1">Financials!M$13</f>
        <v>-492068.6425364801</v>
      </c>
      <c r="N11" s="10">
        <f ca="1">Financials!N$13</f>
        <v>244162.71492703981</v>
      </c>
      <c r="O11" s="10">
        <f ca="1">Financials!O$13</f>
        <v>484015.64376082883</v>
      </c>
      <c r="P11" s="10">
        <f ca="1">Financials!P$13</f>
        <v>715562.10112999263</v>
      </c>
      <c r="Q11" s="10">
        <f ca="1">Financials!Q$13</f>
        <v>959708.5584991565</v>
      </c>
      <c r="R11" s="10">
        <f ca="1">Financials!R$13</f>
        <v>2188861.9002136067</v>
      </c>
      <c r="S11" s="10">
        <f ca="1">Financials!S$13</f>
        <v>3146306.8046398209</v>
      </c>
      <c r="T11" s="10">
        <f ca="1">Financials!T$13</f>
        <v>3599751.7090660352</v>
      </c>
      <c r="U11" s="10">
        <f ca="1">Financials!U$13</f>
        <v>2472193.3165630135</v>
      </c>
      <c r="V11" s="10">
        <f ca="1">Financials!V$13</f>
        <v>6943207.3417660166</v>
      </c>
      <c r="W11" s="10">
        <f ca="1">Financials!W$13</f>
        <v>6653668.6086065518</v>
      </c>
      <c r="X11" s="10">
        <f ca="1">Financials!X$13</f>
        <v>9580244.5202764049</v>
      </c>
      <c r="Y11" s="10">
        <f ca="1">Financials!Y$13</f>
        <v>12231591.544738874</v>
      </c>
      <c r="Z11" s="10">
        <f ca="1">Financials!Z$13</f>
        <v>13705908.012009982</v>
      </c>
      <c r="AA11" s="10">
        <f ca="1">Financials!AA$13</f>
        <v>17588311.54576759</v>
      </c>
      <c r="AB11" s="10">
        <f ca="1">Financials!AB$13</f>
        <v>17734708.372612521</v>
      </c>
      <c r="AC11" s="10">
        <f ca="1">Financials!AC$13</f>
        <v>17735277.780543208</v>
      </c>
      <c r="AD11" s="10">
        <f ca="1">Financials!AD$13</f>
        <v>19157629.263761412</v>
      </c>
      <c r="AE11" s="10">
        <f ca="1">Financials!AE$13</f>
        <v>19973519.934109382</v>
      </c>
      <c r="AF11" s="10">
        <f ca="1">Financials!AF$13</f>
        <v>20260935.879779249</v>
      </c>
      <c r="AG11" s="10">
        <f ca="1">Financials!AG$13</f>
        <v>20335597.073989335</v>
      </c>
      <c r="AH11" s="10">
        <f ca="1">Financials!AH$13</f>
        <v>27079267.230614197</v>
      </c>
      <c r="AI11" s="10">
        <f ca="1">Financials!AI$13</f>
        <v>28554331.870514121</v>
      </c>
      <c r="AJ11" s="10">
        <f ca="1">Financials!AJ$13</f>
        <v>34936293.001365945</v>
      </c>
      <c r="AK11" s="10">
        <f ca="1">Financials!AK$13</f>
        <v>36059591.215472765</v>
      </c>
      <c r="AL11" s="10">
        <f ca="1">Financials!AL$13</f>
        <v>40730721.930600643</v>
      </c>
      <c r="AM11" s="10">
        <f ca="1">Financials!AM$13</f>
        <v>44285806.203606084</v>
      </c>
      <c r="AN11" s="10">
        <f ca="1">Financials!AN$13</f>
        <v>48095180.752578296</v>
      </c>
      <c r="AO11" s="10">
        <f ca="1">Financials!AO$13</f>
        <v>51507987.174390122</v>
      </c>
      <c r="AP11" s="10">
        <f ca="1">Financials!AP$13</f>
        <v>53076708.11089506</v>
      </c>
      <c r="AQ11" s="10">
        <f ca="1">Financials!AQ$13</f>
        <v>56398853.127755851</v>
      </c>
      <c r="AR11" s="10">
        <f ca="1">Financials!AR$13</f>
        <v>62139548.695260428</v>
      </c>
      <c r="AS11" s="10">
        <f ca="1">Financials!AS$13</f>
        <v>64262517.036365427</v>
      </c>
      <c r="AT11" s="10">
        <f ca="1">Financials!AT$13</f>
        <v>72403205.87197195</v>
      </c>
      <c r="AU11" s="10">
        <f ca="1">Financials!AU$13</f>
        <v>80325586.191602379</v>
      </c>
      <c r="AV11" s="10">
        <f ca="1">Financials!AV$13</f>
        <v>87995244.625909925</v>
      </c>
      <c r="AW11" s="10">
        <f ca="1">Financials!AW$13</f>
        <v>86275039.658933625</v>
      </c>
      <c r="AX11" s="10">
        <f ca="1">Financials!AX$13</f>
        <v>98744140.135362491</v>
      </c>
      <c r="AY11" s="10">
        <f ca="1">Financials!AY$13</f>
        <v>104627912.68183477</v>
      </c>
      <c r="AZ11" s="10">
        <f ca="1">Financials!AZ$13</f>
        <v>116911073.59388338</v>
      </c>
      <c r="BA11" s="10">
        <f ca="1">Financials!BA$13</f>
        <v>131560889.0355259</v>
      </c>
      <c r="BB11" s="10">
        <f ca="1">Financials!BB$13</f>
        <v>138380295.72033033</v>
      </c>
      <c r="BC11" s="10">
        <f ca="1">Financials!BC$13</f>
        <v>152609638.81596532</v>
      </c>
      <c r="BD11" s="10">
        <f ca="1">Financials!BD$13</f>
        <v>169092055.76067761</v>
      </c>
      <c r="BE11" s="10">
        <f ca="1">Financials!BE$13</f>
        <v>176366212.33554223</v>
      </c>
      <c r="BF11" s="10">
        <f ca="1">Financials!BF$13</f>
        <v>195053534.93091604</v>
      </c>
      <c r="BG11" s="10">
        <f ca="1">Financials!BG$13</f>
        <v>215918740.49433768</v>
      </c>
      <c r="BH11" s="10">
        <f ca="1">Financials!BH$13</f>
        <v>227831086.05100104</v>
      </c>
      <c r="BI11" s="10">
        <f ca="1">Financials!BI$13</f>
        <v>226204622.19156826</v>
      </c>
      <c r="BJ11" s="10">
        <f ca="1">Financials!BJ$13</f>
        <v>251376068.41005829</v>
      </c>
      <c r="BK11" s="10">
        <f ca="1">Financials!BK$13</f>
        <v>264813228.27268738</v>
      </c>
      <c r="BL11" s="10">
        <f ca="1">Financials!BL$13</f>
        <v>291881615.1468361</v>
      </c>
      <c r="BM11" s="10">
        <f ca="1">Financials!BM$13</f>
        <v>321121311.08017266</v>
      </c>
      <c r="BN11" s="10">
        <f ca="1">Financials!BN$13</f>
        <v>336412837.19385707</v>
      </c>
      <c r="BO11" s="10">
        <f ca="1">Financials!BO$13</f>
        <v>367479439.15008116</v>
      </c>
      <c r="BP11" s="10">
        <f ca="1">Financials!BP$13</f>
        <v>400574188.80445975</v>
      </c>
      <c r="BQ11" s="10">
        <f ca="1">Financials!BQ$13</f>
        <v>419383336.21187401</v>
      </c>
    </row>
    <row r="12" spans="1:69">
      <c r="E12" s="12" t="s">
        <v>86</v>
      </c>
      <c r="F12" s="30"/>
      <c r="G12" s="12" t="s">
        <v>257</v>
      </c>
      <c r="H12" s="54"/>
      <c r="I12" s="30"/>
      <c r="J12" s="12">
        <f t="shared" ref="J12:BQ12" ca="1" si="0" xml:space="preserve"> SUM( J8:J11 )</f>
        <v>-73700</v>
      </c>
      <c r="K12" s="12">
        <f t="shared" ca="1" si="0"/>
        <v>-154691.66666666666</v>
      </c>
      <c r="L12" s="12">
        <f t="shared" ca="1" si="0"/>
        <v>1045300</v>
      </c>
      <c r="M12" s="12">
        <f t="shared" ca="1" si="0"/>
        <v>1727223.0241301865</v>
      </c>
      <c r="N12" s="12">
        <f t="shared" ca="1" si="0"/>
        <v>2316746.0482603731</v>
      </c>
      <c r="O12" s="12">
        <f t="shared" ca="1" si="0"/>
        <v>2534723.9770941623</v>
      </c>
      <c r="P12" s="12">
        <f t="shared" ca="1" si="0"/>
        <v>5124978.7677966598</v>
      </c>
      <c r="Q12" s="12">
        <f t="shared" ca="1" si="0"/>
        <v>6355250.2251658235</v>
      </c>
      <c r="R12" s="12">
        <f t="shared" ca="1" si="0"/>
        <v>6415111.9002136067</v>
      </c>
      <c r="S12" s="12">
        <f t="shared" ca="1" si="0"/>
        <v>5824098.4713064879</v>
      </c>
      <c r="T12" s="12">
        <f t="shared" ca="1" si="0"/>
        <v>10273085.042399369</v>
      </c>
      <c r="U12" s="12">
        <f t="shared" ca="1" si="0"/>
        <v>9094484.98322968</v>
      </c>
      <c r="V12" s="12">
        <f t="shared" ca="1" si="0"/>
        <v>13499874.008432683</v>
      </c>
      <c r="W12" s="12">
        <f t="shared" ca="1" si="0"/>
        <v>17326557.273058642</v>
      </c>
      <c r="X12" s="12">
        <f t="shared" ca="1" si="0"/>
        <v>17181369.520276405</v>
      </c>
      <c r="Y12" s="12">
        <f t="shared" ca="1" si="0"/>
        <v>21224206.169618681</v>
      </c>
      <c r="Z12" s="12">
        <f t="shared" ca="1" si="0"/>
        <v>21511199.67867665</v>
      </c>
      <c r="AA12" s="12">
        <f t="shared" ca="1" si="0"/>
        <v>20710724.923102356</v>
      </c>
      <c r="AB12" s="12">
        <f t="shared" ca="1" si="0"/>
        <v>22902458.372612521</v>
      </c>
      <c r="AC12" s="12">
        <f t="shared" ca="1" si="0"/>
        <v>24195402.780543208</v>
      </c>
      <c r="AD12" s="12">
        <f t="shared" ca="1" si="0"/>
        <v>24200545.93042808</v>
      </c>
      <c r="AE12" s="12">
        <f t="shared" ca="1" si="0"/>
        <v>26294228.267442714</v>
      </c>
      <c r="AF12" s="12">
        <f t="shared" ca="1" si="0"/>
        <v>33396144.213112582</v>
      </c>
      <c r="AG12" s="12">
        <f t="shared" ca="1" si="0"/>
        <v>33718722.073989332</v>
      </c>
      <c r="AH12" s="12">
        <f t="shared" ca="1" si="0"/>
        <v>43223017.2306142</v>
      </c>
      <c r="AI12" s="12">
        <f t="shared" ca="1" si="0"/>
        <v>49289720.534966215</v>
      </c>
      <c r="AJ12" s="12">
        <f t="shared" ca="1" si="0"/>
        <v>51711501.334699281</v>
      </c>
      <c r="AK12" s="12">
        <f t="shared" ca="1" si="0"/>
        <v>54011039.173685908</v>
      </c>
      <c r="AL12" s="12">
        <f t="shared" ca="1" si="0"/>
        <v>58274471.930600643</v>
      </c>
      <c r="AM12" s="12">
        <f t="shared" ca="1" si="0"/>
        <v>59932094.580940858</v>
      </c>
      <c r="AN12" s="12">
        <f t="shared" ca="1" si="0"/>
        <v>64026014.085911632</v>
      </c>
      <c r="AO12" s="12">
        <f t="shared" ca="1" si="0"/>
        <v>67960903.841056794</v>
      </c>
      <c r="AP12" s="12">
        <f t="shared" ca="1" si="0"/>
        <v>72746708.110895067</v>
      </c>
      <c r="AQ12" s="12">
        <f t="shared" ca="1" si="0"/>
        <v>79089061.461089179</v>
      </c>
      <c r="AR12" s="12">
        <f t="shared" ca="1" si="0"/>
        <v>88017673.695260435</v>
      </c>
      <c r="AS12" s="12">
        <f t="shared" ca="1" si="0"/>
        <v>93306683.703032091</v>
      </c>
      <c r="AT12" s="12">
        <f t="shared" ca="1" si="0"/>
        <v>107118830.87197195</v>
      </c>
      <c r="AU12" s="12">
        <f t="shared" ca="1" si="0"/>
        <v>115651228.10999875</v>
      </c>
      <c r="AV12" s="12">
        <f t="shared" ca="1" si="0"/>
        <v>124084921.41513824</v>
      </c>
      <c r="AW12" s="12">
        <f t="shared" ca="1" si="0"/>
        <v>128148255.95420748</v>
      </c>
      <c r="AX12" s="12">
        <f t="shared" ca="1" si="0"/>
        <v>141515916.19433734</v>
      </c>
      <c r="AY12" s="12">
        <f t="shared" ca="1" si="0"/>
        <v>150791523.37844729</v>
      </c>
      <c r="AZ12" s="12">
        <f t="shared" ca="1" si="0"/>
        <v>166440372.56869254</v>
      </c>
      <c r="BA12" s="12">
        <f t="shared" ca="1" si="0"/>
        <v>182092634.77763391</v>
      </c>
      <c r="BB12" s="12">
        <f t="shared" ca="1" si="0"/>
        <v>192402313.02907446</v>
      </c>
      <c r="BC12" s="12">
        <f t="shared" ca="1" si="0"/>
        <v>210272732.43073469</v>
      </c>
      <c r="BD12" s="12">
        <f t="shared" ca="1" si="0"/>
        <v>230358176.28777844</v>
      </c>
      <c r="BE12" s="12">
        <f t="shared" ca="1" si="0"/>
        <v>243900374.60870111</v>
      </c>
      <c r="BF12" s="12">
        <f t="shared" ca="1" si="0"/>
        <v>268819280.61679965</v>
      </c>
      <c r="BG12" s="12">
        <f t="shared" ca="1" si="0"/>
        <v>291016790.92973876</v>
      </c>
      <c r="BH12" s="12">
        <f t="shared" ca="1" si="0"/>
        <v>306923081.30745745</v>
      </c>
      <c r="BI12" s="12">
        <f t="shared" ca="1" si="0"/>
        <v>314283592.3728404</v>
      </c>
      <c r="BJ12" s="12">
        <f t="shared" ca="1" si="0"/>
        <v>343538366.53145719</v>
      </c>
      <c r="BK12" s="12">
        <f t="shared" ca="1" si="0"/>
        <v>361191633.24875301</v>
      </c>
      <c r="BL12" s="12">
        <f t="shared" ca="1" si="0"/>
        <v>395130063.42535305</v>
      </c>
      <c r="BM12" s="12">
        <f t="shared" ca="1" si="0"/>
        <v>428665382.13934541</v>
      </c>
      <c r="BN12" s="12">
        <f t="shared" ca="1" si="0"/>
        <v>448559326.46569347</v>
      </c>
      <c r="BO12" s="12">
        <f t="shared" ca="1" si="0"/>
        <v>489211935.28002608</v>
      </c>
      <c r="BP12" s="12">
        <f t="shared" ca="1" si="0"/>
        <v>529675030.50512564</v>
      </c>
      <c r="BQ12" s="12">
        <f t="shared" ca="1" si="0"/>
        <v>555966823.98404741</v>
      </c>
    </row>
    <row r="14" spans="1:69">
      <c r="E14" s="17" t="str">
        <f xml:space="preserve"> Income!E$27</f>
        <v>Deferred Income</v>
      </c>
      <c r="F14" s="17">
        <f xml:space="preserve"> Income!F$27</f>
        <v>0</v>
      </c>
      <c r="G14" s="17" t="str">
        <f xml:space="preserve"> Income!G$27</f>
        <v>GBP</v>
      </c>
      <c r="H14" s="44">
        <f xml:space="preserve"> Income!H$27</f>
        <v>0</v>
      </c>
      <c r="I14" s="17">
        <f xml:space="preserve"> Income!I$27</f>
        <v>0</v>
      </c>
      <c r="J14" s="10">
        <f ca="1">Income!J$27</f>
        <v>0</v>
      </c>
      <c r="K14" s="10">
        <f ca="1">Income!K$27</f>
        <v>0</v>
      </c>
      <c r="L14" s="10">
        <f ca="1">Income!L$27</f>
        <v>770000</v>
      </c>
      <c r="M14" s="10">
        <f ca="1">Income!M$27</f>
        <v>1085000</v>
      </c>
      <c r="N14" s="10">
        <f ca="1">Income!N$27</f>
        <v>1365000</v>
      </c>
      <c r="O14" s="10">
        <f ca="1">Income!O$27</f>
        <v>1610000</v>
      </c>
      <c r="P14" s="10">
        <f ca="1">Income!P$27</f>
        <v>3360000</v>
      </c>
      <c r="Q14" s="10">
        <f ca="1">Income!Q$27</f>
        <v>4165000</v>
      </c>
      <c r="R14" s="10">
        <f ca="1">Income!R$27</f>
        <v>4480000</v>
      </c>
      <c r="S14" s="10">
        <f ca="1">Income!S$27</f>
        <v>3955000</v>
      </c>
      <c r="T14" s="10">
        <f ca="1">Income!T$27</f>
        <v>7280000</v>
      </c>
      <c r="U14" s="10">
        <f ca="1">Income!U$27</f>
        <v>6405000</v>
      </c>
      <c r="V14" s="10">
        <f ca="1">Income!V$27</f>
        <v>9380000</v>
      </c>
      <c r="W14" s="10">
        <f ca="1">Income!W$27</f>
        <v>11349466.456641642</v>
      </c>
      <c r="X14" s="10">
        <f ca="1">Income!X$27</f>
        <v>11329593.958487123</v>
      </c>
      <c r="Y14" s="10">
        <f ca="1">Income!Y$27</f>
        <v>13969023.554504545</v>
      </c>
      <c r="Z14" s="10">
        <f ca="1">Income!Z$27</f>
        <v>12524645.813394628</v>
      </c>
      <c r="AA14" s="10">
        <f ca="1">Income!AA$27</f>
        <v>11019645.813394628</v>
      </c>
      <c r="AB14" s="10">
        <f ca="1">Income!AB$27</f>
        <v>11194645.813394628</v>
      </c>
      <c r="AC14" s="10">
        <f ca="1">Income!AC$27</f>
        <v>10529645.813394628</v>
      </c>
      <c r="AD14" s="10">
        <f ca="1">Income!AD$27</f>
        <v>9444645.8133946285</v>
      </c>
      <c r="AE14" s="10">
        <f ca="1">Income!AE$27</f>
        <v>9444645.8133946285</v>
      </c>
      <c r="AF14" s="10">
        <f ca="1">Income!AF$27</f>
        <v>13469645.813394628</v>
      </c>
      <c r="AG14" s="10">
        <f ca="1">Income!AG$27</f>
        <v>13119645.813394628</v>
      </c>
      <c r="AH14" s="10">
        <f ca="1">Income!AH$27</f>
        <v>18754645.813394628</v>
      </c>
      <c r="AI14" s="10">
        <f ca="1">Income!AI$27</f>
        <v>21434518.311549149</v>
      </c>
      <c r="AJ14" s="10">
        <f ca="1">Income!AJ$27</f>
        <v>23129645.813394628</v>
      </c>
      <c r="AK14" s="10">
        <f ca="1">Income!AK$27</f>
        <v>26009023.554504544</v>
      </c>
      <c r="AL14" s="10">
        <f ca="1">Income!AL$27</f>
        <v>26664645.813394628</v>
      </c>
      <c r="AM14" s="10">
        <f ca="1">Income!AM$27</f>
        <v>27014645.813394628</v>
      </c>
      <c r="AN14" s="10">
        <f ca="1">Income!AN$27</f>
        <v>27119645.813394628</v>
      </c>
      <c r="AO14" s="10">
        <f ca="1">Income!AO$27</f>
        <v>27049645.813394628</v>
      </c>
      <c r="AP14" s="10">
        <f ca="1">Income!AP$27</f>
        <v>28729645.813394628</v>
      </c>
      <c r="AQ14" s="10">
        <f ca="1">Income!AQ$27</f>
        <v>30234645.813394628</v>
      </c>
      <c r="AR14" s="10">
        <f ca="1">Income!AR$27</f>
        <v>33489645.813394628</v>
      </c>
      <c r="AS14" s="10">
        <f ca="1">Income!AS$27</f>
        <v>36394645.813394628</v>
      </c>
      <c r="AT14" s="10">
        <f ca="1">Income!AT$27</f>
        <v>42985051.854907505</v>
      </c>
      <c r="AU14" s="10">
        <f ca="1">Income!AU$27</f>
        <v>45046888.75487452</v>
      </c>
      <c r="AV14" s="10">
        <f ca="1">Income!AV$27</f>
        <v>50816836.899967015</v>
      </c>
      <c r="AW14" s="10">
        <f ca="1">Income!AW$27</f>
        <v>55932271.22879111</v>
      </c>
      <c r="AX14" s="10">
        <f ca="1">Income!AX$27</f>
        <v>60581302.53209497</v>
      </c>
      <c r="AY14" s="10">
        <f ca="1">Income!AY$27</f>
        <v>66702821.208814114</v>
      </c>
      <c r="AZ14" s="10">
        <f ca="1">Income!AZ$27</f>
        <v>72211543.623986676</v>
      </c>
      <c r="BA14" s="10">
        <f ca="1">Income!BA$27</f>
        <v>77123061.223253667</v>
      </c>
      <c r="BB14" s="10">
        <f ca="1">Income!BB$27</f>
        <v>83553892.567859471</v>
      </c>
      <c r="BC14" s="10">
        <f ca="1">Income!BC$27</f>
        <v>89246538.463814378</v>
      </c>
      <c r="BD14" s="10">
        <f ca="1">Income!BD$27</f>
        <v>96319540.369207889</v>
      </c>
      <c r="BE14" s="10">
        <f ca="1">Income!BE$27</f>
        <v>104617542.2746014</v>
      </c>
      <c r="BF14" s="10">
        <f ca="1">Income!BF$27</f>
        <v>114192856.26302066</v>
      </c>
      <c r="BG14" s="10">
        <f ca="1">Income!BG$27</f>
        <v>120867531.96834821</v>
      </c>
      <c r="BH14" s="10">
        <f ca="1">Income!BH$27</f>
        <v>130789930.16392669</v>
      </c>
      <c r="BI14" s="10">
        <f ca="1">Income!BI$27</f>
        <v>141884800.72696838</v>
      </c>
      <c r="BJ14" s="10">
        <f ca="1">Income!BJ$27</f>
        <v>151966365.23896959</v>
      </c>
      <c r="BK14" s="10">
        <f ca="1">Income!BK$27</f>
        <v>163162404.49780139</v>
      </c>
      <c r="BL14" s="10">
        <f ca="1">Income!BL$27</f>
        <v>175327351.23354003</v>
      </c>
      <c r="BM14" s="10">
        <f ca="1">Income!BM$27</f>
        <v>186455388.33746752</v>
      </c>
      <c r="BN14" s="10">
        <f ca="1">Income!BN$27</f>
        <v>198504552.93207264</v>
      </c>
      <c r="BO14" s="10">
        <f ca="1">Income!BO$27</f>
        <v>213434846.62937599</v>
      </c>
      <c r="BP14" s="10">
        <f ca="1">Income!BP$27</f>
        <v>227083352.34555653</v>
      </c>
      <c r="BQ14" s="10">
        <f ca="1">Income!BQ$27</f>
        <v>243514358.06173703</v>
      </c>
    </row>
    <row r="15" spans="1:6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'Working Capital'!J$36</f>
        <v>0</v>
      </c>
      <c r="K15" s="10">
        <f ca="1">'Working Capital'!K$36</f>
        <v>0</v>
      </c>
      <c r="L15" s="10">
        <f ca="1">'Working Capital'!L$36</f>
        <v>315000</v>
      </c>
      <c r="M15" s="10">
        <f ca="1">'Working Capital'!M$36</f>
        <v>630000</v>
      </c>
      <c r="N15" s="10">
        <f ca="1">'Working Capital'!N$36</f>
        <v>944999.99999999988</v>
      </c>
      <c r="O15" s="10">
        <f ca="1">'Working Capital'!O$36</f>
        <v>944999.99999999988</v>
      </c>
      <c r="P15" s="10">
        <f ca="1">'Working Capital'!P$36</f>
        <v>1260000</v>
      </c>
      <c r="Q15" s="10">
        <f ca="1">'Working Capital'!Q$36</f>
        <v>1260000</v>
      </c>
      <c r="R15" s="10">
        <f ca="1">'Working Capital'!R$36</f>
        <v>1281000</v>
      </c>
      <c r="S15" s="10">
        <f ca="1">'Working Capital'!S$36</f>
        <v>986999.99999999977</v>
      </c>
      <c r="T15" s="10">
        <f ca="1">'Working Capital'!T$36</f>
        <v>692999.99999999977</v>
      </c>
      <c r="U15" s="10">
        <f ca="1">'Working Capital'!U$36</f>
        <v>692999.99999999977</v>
      </c>
      <c r="V15" s="10">
        <f ca="1">'Working Capital'!V$36</f>
        <v>398999.99999999994</v>
      </c>
      <c r="W15" s="10">
        <f ca="1">'Working Capital'!W$36</f>
        <v>399000</v>
      </c>
      <c r="X15" s="10">
        <f ca="1">'Working Capital'!X$36</f>
        <v>262500</v>
      </c>
      <c r="Y15" s="10">
        <f ca="1">'Working Capital'!Y$36</f>
        <v>420000</v>
      </c>
      <c r="Z15" s="10">
        <f ca="1">'Working Capital'!Z$36</f>
        <v>577500</v>
      </c>
      <c r="AA15" s="10">
        <f ca="1">'Working Capital'!AA$36</f>
        <v>892500</v>
      </c>
      <c r="AB15" s="10">
        <f ca="1">'Working Capital'!AB$36</f>
        <v>1050000.0000000002</v>
      </c>
      <c r="AC15" s="10">
        <f ca="1">'Working Capital'!AC$36</f>
        <v>1365000</v>
      </c>
      <c r="AD15" s="10">
        <f ca="1">'Working Capital'!AD$36</f>
        <v>1375500</v>
      </c>
      <c r="AE15" s="10">
        <f ca="1">'Working Capital'!AE$36</f>
        <v>1543500</v>
      </c>
      <c r="AF15" s="10">
        <f ca="1">'Working Capital'!AF$36</f>
        <v>1711499.9999999995</v>
      </c>
      <c r="AG15" s="10">
        <f ca="1">'Working Capital'!AG$36</f>
        <v>1732499.9999999998</v>
      </c>
      <c r="AH15" s="10">
        <f ca="1">'Working Capital'!AH$36</f>
        <v>1900500</v>
      </c>
      <c r="AI15" s="10">
        <f ca="1">'Working Capital'!AI$36</f>
        <v>2078999.9999999998</v>
      </c>
      <c r="AJ15" s="10">
        <f ca="1">'Working Capital'!AJ$36</f>
        <v>2247000</v>
      </c>
      <c r="AK15" s="10">
        <f ca="1">'Working Capital'!AK$36</f>
        <v>2425500</v>
      </c>
      <c r="AL15" s="10">
        <f ca="1">'Working Capital'!AL$36</f>
        <v>2604000</v>
      </c>
      <c r="AM15" s="10">
        <f ca="1">'Working Capital'!AM$36</f>
        <v>2940000</v>
      </c>
      <c r="AN15" s="10">
        <f ca="1">'Working Capital'!AN$36</f>
        <v>3118499.9999999995</v>
      </c>
      <c r="AO15" s="10">
        <f ca="1">'Working Capital'!AO$36</f>
        <v>3307499.9999999995</v>
      </c>
      <c r="AP15" s="10">
        <f ca="1">'Working Capital'!AP$36</f>
        <v>3800999.9999999995</v>
      </c>
      <c r="AQ15" s="10">
        <f ca="1">'Working Capital'!AQ$36</f>
        <v>3990000.0000000009</v>
      </c>
      <c r="AR15" s="10">
        <f ca="1">'Working Capital'!AR$36</f>
        <v>4336500</v>
      </c>
      <c r="AS15" s="10">
        <f ca="1">'Working Capital'!AS$36</f>
        <v>4536000</v>
      </c>
      <c r="AT15" s="10">
        <f ca="1">'Working Capital'!AT$36</f>
        <v>4882500</v>
      </c>
      <c r="AU15" s="10">
        <f ca="1">'Working Capital'!AU$36</f>
        <v>5081999.9999999991</v>
      </c>
      <c r="AV15" s="10">
        <f ca="1">'Working Capital'!AV$36</f>
        <v>5292000</v>
      </c>
      <c r="AW15" s="10">
        <f ca="1">'Working Capital'!AW$36</f>
        <v>5649000</v>
      </c>
      <c r="AX15" s="10">
        <f ca="1">'Working Capital'!AX$36</f>
        <v>6016499.9999999991</v>
      </c>
      <c r="AY15" s="10">
        <f ca="1">'Working Capital'!AY$36</f>
        <v>6383999.9999999981</v>
      </c>
      <c r="AZ15" s="10">
        <f ca="1">'Working Capital'!AZ$36</f>
        <v>6751499.9999999981</v>
      </c>
      <c r="BA15" s="10">
        <f ca="1">'Working Capital'!BA$36</f>
        <v>7276499.9999999981</v>
      </c>
      <c r="BB15" s="10">
        <f ca="1">'Working Capital'!BB$36</f>
        <v>7654499.9999999991</v>
      </c>
      <c r="BC15" s="10">
        <f ca="1">'Working Capital'!BC$36</f>
        <v>8190000</v>
      </c>
      <c r="BD15" s="10">
        <f ca="1">'Working Capital'!BD$36</f>
        <v>8578500</v>
      </c>
      <c r="BE15" s="10">
        <f ca="1">'Working Capital'!BE$36</f>
        <v>9124500</v>
      </c>
      <c r="BF15" s="10">
        <f ca="1">'Working Capital'!BF$36</f>
        <v>9670500</v>
      </c>
      <c r="BG15" s="10">
        <f ca="1">'Working Capital'!BG$36</f>
        <v>10227000</v>
      </c>
      <c r="BH15" s="10">
        <f ca="1">'Working Capital'!BH$36</f>
        <v>10941000</v>
      </c>
      <c r="BI15" s="10">
        <f ca="1">'Working Capital'!BI$36</f>
        <v>11508000</v>
      </c>
      <c r="BJ15" s="10">
        <f ca="1">'Working Capital'!BJ$36</f>
        <v>12232500</v>
      </c>
      <c r="BK15" s="10">
        <f ca="1">'Working Capital'!BK$36</f>
        <v>12967500</v>
      </c>
      <c r="BL15" s="10">
        <f ca="1">'Working Capital'!BL$36</f>
        <v>13860000</v>
      </c>
      <c r="BM15" s="10">
        <f ca="1">'Working Capital'!BM$36</f>
        <v>14605500.000000002</v>
      </c>
      <c r="BN15" s="10">
        <f ca="1">'Working Capital'!BN$36</f>
        <v>15519000.000000002</v>
      </c>
      <c r="BO15" s="10">
        <f ca="1">'Working Capital'!BO$36</f>
        <v>16432499.999999996</v>
      </c>
      <c r="BP15" s="10">
        <f ca="1">'Working Capital'!BP$36</f>
        <v>17514000</v>
      </c>
      <c r="BQ15" s="10">
        <f ca="1">'Working Capital'!BQ$36</f>
        <v>18606000</v>
      </c>
    </row>
    <row r="16" spans="1:6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'Supply Chain finance'!J$15</f>
        <v>0</v>
      </c>
      <c r="K16" s="10">
        <f ca="1">'Supply Chain finance'!K$15</f>
        <v>0</v>
      </c>
      <c r="L16" s="10">
        <f ca="1">'Supply Chain finance'!L$15</f>
        <v>0</v>
      </c>
      <c r="M16" s="10">
        <f ca="1">'Supply Chain finance'!M$15</f>
        <v>0</v>
      </c>
      <c r="N16" s="10">
        <f ca="1">'Supply Chain finance'!N$15</f>
        <v>0</v>
      </c>
      <c r="O16" s="10">
        <f ca="1">'Supply Chain finance'!O$15</f>
        <v>0</v>
      </c>
      <c r="P16" s="10">
        <f ca="1">'Supply Chain finance'!P$15</f>
        <v>0</v>
      </c>
      <c r="Q16" s="10">
        <f ca="1">'Supply Chain finance'!Q$15</f>
        <v>0</v>
      </c>
      <c r="R16" s="10">
        <f ca="1">'Supply Chain finance'!R$15</f>
        <v>0</v>
      </c>
      <c r="S16" s="10">
        <f ca="1">'Supply Chain finance'!S$15</f>
        <v>0</v>
      </c>
      <c r="T16" s="10">
        <f ca="1">'Supply Chain finance'!T$15</f>
        <v>0</v>
      </c>
      <c r="U16" s="10">
        <f ca="1">'Supply Chain finance'!U$15</f>
        <v>0</v>
      </c>
      <c r="V16" s="10">
        <f ca="1">'Supply Chain finance'!V$15</f>
        <v>0</v>
      </c>
      <c r="W16" s="10">
        <f ca="1">'Supply Chain finance'!W$15</f>
        <v>0</v>
      </c>
      <c r="X16" s="10">
        <f ca="1">'Supply Chain finance'!X$15</f>
        <v>0</v>
      </c>
      <c r="Y16" s="10">
        <f ca="1">'Supply Chain finance'!Y$15</f>
        <v>0</v>
      </c>
      <c r="Z16" s="10">
        <f ca="1">'Supply Chain finance'!Z$15</f>
        <v>0</v>
      </c>
      <c r="AA16" s="10">
        <f ca="1">'Supply Chain finance'!AA$15</f>
        <v>0</v>
      </c>
      <c r="AB16" s="10">
        <f ca="1">'Supply Chain finance'!AB$15</f>
        <v>0</v>
      </c>
      <c r="AC16" s="10">
        <f ca="1">'Supply Chain finance'!AC$15</f>
        <v>0</v>
      </c>
      <c r="AD16" s="10">
        <f ca="1">'Supply Chain finance'!AD$15</f>
        <v>0</v>
      </c>
      <c r="AE16" s="10">
        <f ca="1">'Supply Chain finance'!AE$15</f>
        <v>0</v>
      </c>
      <c r="AF16" s="10">
        <f ca="1">'Supply Chain finance'!AF$15</f>
        <v>0</v>
      </c>
      <c r="AG16" s="10">
        <f ca="1">'Supply Chain finance'!AG$15</f>
        <v>0</v>
      </c>
      <c r="AH16" s="10">
        <f ca="1">'Supply Chain finance'!AH$15</f>
        <v>0</v>
      </c>
      <c r="AI16" s="10">
        <f ca="1">'Supply Chain finance'!AI$15</f>
        <v>0</v>
      </c>
      <c r="AJ16" s="10">
        <f ca="1">'Supply Chain finance'!AJ$15</f>
        <v>0</v>
      </c>
      <c r="AK16" s="10">
        <f ca="1">'Supply Chain finance'!AK$15</f>
        <v>0</v>
      </c>
      <c r="AL16" s="10">
        <f ca="1">'Supply Chain finance'!AL$15</f>
        <v>0</v>
      </c>
      <c r="AM16" s="10">
        <f ca="1">'Supply Chain finance'!AM$15</f>
        <v>0</v>
      </c>
      <c r="AN16" s="10">
        <f ca="1">'Supply Chain finance'!AN$15</f>
        <v>0</v>
      </c>
      <c r="AO16" s="10">
        <f ca="1">'Supply Chain finance'!AO$15</f>
        <v>0</v>
      </c>
      <c r="AP16" s="10">
        <f ca="1">'Supply Chain finance'!AP$15</f>
        <v>0</v>
      </c>
      <c r="AQ16" s="10">
        <f ca="1">'Supply Chain finance'!AQ$15</f>
        <v>0</v>
      </c>
      <c r="AR16" s="10">
        <f ca="1">'Supply Chain finance'!AR$15</f>
        <v>0</v>
      </c>
      <c r="AS16" s="10">
        <f ca="1">'Supply Chain finance'!AS$15</f>
        <v>0</v>
      </c>
      <c r="AT16" s="10">
        <f ca="1">'Supply Chain finance'!AT$15</f>
        <v>0</v>
      </c>
      <c r="AU16" s="10">
        <f ca="1">'Supply Chain finance'!AU$15</f>
        <v>0</v>
      </c>
      <c r="AV16" s="10">
        <f ca="1">'Supply Chain finance'!AV$15</f>
        <v>0</v>
      </c>
      <c r="AW16" s="10">
        <f ca="1">'Supply Chain finance'!AW$15</f>
        <v>0</v>
      </c>
      <c r="AX16" s="10">
        <f ca="1">'Supply Chain finance'!AX$15</f>
        <v>0</v>
      </c>
      <c r="AY16" s="10">
        <f ca="1">'Supply Chain finance'!AY$15</f>
        <v>0</v>
      </c>
      <c r="AZ16" s="10">
        <f ca="1">'Supply Chain finance'!AZ$15</f>
        <v>0</v>
      </c>
      <c r="BA16" s="10">
        <f ca="1">'Supply Chain finance'!BA$15</f>
        <v>0</v>
      </c>
      <c r="BB16" s="10">
        <f ca="1">'Supply Chain finance'!BB$15</f>
        <v>0</v>
      </c>
      <c r="BC16" s="10">
        <f ca="1">'Supply Chain finance'!BC$15</f>
        <v>0</v>
      </c>
      <c r="BD16" s="10">
        <f ca="1">'Supply Chain finance'!BD$15</f>
        <v>0</v>
      </c>
      <c r="BE16" s="10">
        <f ca="1">'Supply Chain finance'!BE$15</f>
        <v>0</v>
      </c>
      <c r="BF16" s="10">
        <f ca="1">'Supply Chain finance'!BF$15</f>
        <v>0</v>
      </c>
      <c r="BG16" s="10">
        <f ca="1">'Supply Chain finance'!BG$15</f>
        <v>0</v>
      </c>
      <c r="BH16" s="10">
        <f ca="1">'Supply Chain finance'!BH$15</f>
        <v>0</v>
      </c>
      <c r="BI16" s="10">
        <f ca="1">'Supply Chain finance'!BI$15</f>
        <v>0</v>
      </c>
      <c r="BJ16" s="10">
        <f ca="1">'Supply Chain finance'!BJ$15</f>
        <v>0</v>
      </c>
      <c r="BK16" s="10">
        <f ca="1">'Supply Chain finance'!BK$15</f>
        <v>0</v>
      </c>
      <c r="BL16" s="10">
        <f ca="1">'Supply Chain finance'!BL$15</f>
        <v>0</v>
      </c>
      <c r="BM16" s="10">
        <f ca="1">'Supply Chain finance'!BM$15</f>
        <v>0</v>
      </c>
      <c r="BN16" s="10">
        <f ca="1">'Supply Chain finance'!BN$15</f>
        <v>0</v>
      </c>
      <c r="BO16" s="10">
        <f ca="1">'Supply Chain finance'!BO$15</f>
        <v>0</v>
      </c>
      <c r="BP16" s="10">
        <f ca="1">'Supply Chain finance'!BP$15</f>
        <v>0</v>
      </c>
      <c r="BQ16" s="10">
        <f ca="1">'Supply Chain finance'!BQ$15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'Invoice finance'!J$15</f>
        <v>0</v>
      </c>
      <c r="K17" s="10">
        <f ca="1">'Invoice finance'!K$15</f>
        <v>0</v>
      </c>
      <c r="L17" s="10">
        <f ca="1">'Invoice finance'!L$15</f>
        <v>0</v>
      </c>
      <c r="M17" s="10">
        <f ca="1">'Invoice finance'!M$15</f>
        <v>0</v>
      </c>
      <c r="N17" s="10">
        <f ca="1">'Invoice finance'!N$15</f>
        <v>0</v>
      </c>
      <c r="O17" s="10">
        <f ca="1">'Invoice finance'!O$15</f>
        <v>0</v>
      </c>
      <c r="P17" s="10">
        <f ca="1">'Invoice finance'!P$15</f>
        <v>0</v>
      </c>
      <c r="Q17" s="10">
        <f ca="1">'Invoice finance'!Q$15</f>
        <v>0</v>
      </c>
      <c r="R17" s="10">
        <f ca="1">'Invoice finance'!R$15</f>
        <v>0</v>
      </c>
      <c r="S17" s="10">
        <f ca="1">'Invoice finance'!S$15</f>
        <v>0</v>
      </c>
      <c r="T17" s="10">
        <f ca="1">'Invoice finance'!T$15</f>
        <v>0</v>
      </c>
      <c r="U17" s="10">
        <f ca="1">'Invoice finance'!U$15</f>
        <v>0</v>
      </c>
      <c r="V17" s="10">
        <f ca="1">'Invoice finance'!V$15</f>
        <v>0</v>
      </c>
      <c r="W17" s="10">
        <f ca="1">'Invoice finance'!W$15</f>
        <v>0</v>
      </c>
      <c r="X17" s="10">
        <f ca="1">'Invoice finance'!X$15</f>
        <v>0</v>
      </c>
      <c r="Y17" s="10">
        <f ca="1">'Invoice finance'!Y$15</f>
        <v>0</v>
      </c>
      <c r="Z17" s="10">
        <f ca="1">'Invoice finance'!Z$15</f>
        <v>0</v>
      </c>
      <c r="AA17" s="10">
        <f ca="1">'Invoice finance'!AA$15</f>
        <v>0</v>
      </c>
      <c r="AB17" s="10">
        <f ca="1">'Invoice finance'!AB$15</f>
        <v>0</v>
      </c>
      <c r="AC17" s="10">
        <f ca="1">'Invoice finance'!AC$15</f>
        <v>0</v>
      </c>
      <c r="AD17" s="10">
        <f ca="1">'Invoice finance'!AD$15</f>
        <v>0</v>
      </c>
      <c r="AE17" s="10">
        <f ca="1">'Invoice finance'!AE$15</f>
        <v>0</v>
      </c>
      <c r="AF17" s="10">
        <f ca="1">'Invoice finance'!AF$15</f>
        <v>0</v>
      </c>
      <c r="AG17" s="10">
        <f ca="1">'Invoice finance'!AG$15</f>
        <v>0</v>
      </c>
      <c r="AH17" s="10">
        <f ca="1">'Invoice finance'!AH$15</f>
        <v>0</v>
      </c>
      <c r="AI17" s="10">
        <f ca="1">'Invoice finance'!AI$15</f>
        <v>0</v>
      </c>
      <c r="AJ17" s="10">
        <f ca="1">'Invoice finance'!AJ$15</f>
        <v>0</v>
      </c>
      <c r="AK17" s="10">
        <f ca="1">'Invoice finance'!AK$15</f>
        <v>0</v>
      </c>
      <c r="AL17" s="10">
        <f ca="1">'Invoice finance'!AL$15</f>
        <v>0</v>
      </c>
      <c r="AM17" s="10">
        <f ca="1">'Invoice finance'!AM$15</f>
        <v>0</v>
      </c>
      <c r="AN17" s="10">
        <f ca="1">'Invoice finance'!AN$15</f>
        <v>0</v>
      </c>
      <c r="AO17" s="10">
        <f ca="1">'Invoice finance'!AO$15</f>
        <v>0</v>
      </c>
      <c r="AP17" s="10">
        <f ca="1">'Invoice finance'!AP$15</f>
        <v>0</v>
      </c>
      <c r="AQ17" s="10">
        <f ca="1">'Invoice finance'!AQ$15</f>
        <v>0</v>
      </c>
      <c r="AR17" s="10">
        <f ca="1">'Invoice finance'!AR$15</f>
        <v>0</v>
      </c>
      <c r="AS17" s="10">
        <f ca="1">'Invoice finance'!AS$15</f>
        <v>0</v>
      </c>
      <c r="AT17" s="10">
        <f ca="1">'Invoice finance'!AT$15</f>
        <v>0</v>
      </c>
      <c r="AU17" s="10">
        <f ca="1">'Invoice finance'!AU$15</f>
        <v>0</v>
      </c>
      <c r="AV17" s="10">
        <f ca="1">'Invoice finance'!AV$15</f>
        <v>0</v>
      </c>
      <c r="AW17" s="10">
        <f ca="1">'Invoice finance'!AW$15</f>
        <v>0</v>
      </c>
      <c r="AX17" s="10">
        <f ca="1">'Invoice finance'!AX$15</f>
        <v>0</v>
      </c>
      <c r="AY17" s="10">
        <f ca="1">'Invoice finance'!AY$15</f>
        <v>0</v>
      </c>
      <c r="AZ17" s="10">
        <f ca="1">'Invoice finance'!AZ$15</f>
        <v>0</v>
      </c>
      <c r="BA17" s="10">
        <f ca="1">'Invoice finance'!BA$15</f>
        <v>0</v>
      </c>
      <c r="BB17" s="10">
        <f ca="1">'Invoice finance'!BB$15</f>
        <v>0</v>
      </c>
      <c r="BC17" s="10">
        <f ca="1">'Invoice finance'!BC$15</f>
        <v>0</v>
      </c>
      <c r="BD17" s="10">
        <f ca="1">'Invoice finance'!BD$15</f>
        <v>0</v>
      </c>
      <c r="BE17" s="10">
        <f ca="1">'Invoice finance'!BE$15</f>
        <v>0</v>
      </c>
      <c r="BF17" s="10">
        <f ca="1">'Invoice finance'!BF$15</f>
        <v>0</v>
      </c>
      <c r="BG17" s="10">
        <f ca="1">'Invoice finance'!BG$15</f>
        <v>0</v>
      </c>
      <c r="BH17" s="10">
        <f ca="1">'Invoice finance'!BH$15</f>
        <v>0</v>
      </c>
      <c r="BI17" s="10">
        <f ca="1">'Invoice finance'!BI$15</f>
        <v>0</v>
      </c>
      <c r="BJ17" s="10">
        <f ca="1">'Invoice finance'!BJ$15</f>
        <v>0</v>
      </c>
      <c r="BK17" s="10">
        <f ca="1">'Invoice finance'!BK$15</f>
        <v>0</v>
      </c>
      <c r="BL17" s="10">
        <f ca="1">'Invoice finance'!BL$15</f>
        <v>0</v>
      </c>
      <c r="BM17" s="10">
        <f ca="1">'Invoice finance'!BM$15</f>
        <v>0</v>
      </c>
      <c r="BN17" s="10">
        <f ca="1">'Invoice finance'!BN$15</f>
        <v>0</v>
      </c>
      <c r="BO17" s="10">
        <f ca="1">'Invoice finance'!BO$15</f>
        <v>0</v>
      </c>
      <c r="BP17" s="10">
        <f ca="1">'Invoice finance'!BP$15</f>
        <v>0</v>
      </c>
      <c r="BQ17" s="10">
        <f ca="1">'Invoice finance'!BQ$15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'Asset Finance'!J$15</f>
        <v>0</v>
      </c>
      <c r="K18" s="10">
        <f ca="1">'Asset Finance'!K$15</f>
        <v>0</v>
      </c>
      <c r="L18" s="10">
        <f ca="1">'Asset Finance'!L$15</f>
        <v>0</v>
      </c>
      <c r="M18" s="10">
        <f ca="1">'Asset Finance'!M$15</f>
        <v>0</v>
      </c>
      <c r="N18" s="10">
        <f ca="1">'Asset Finance'!N$15</f>
        <v>0</v>
      </c>
      <c r="O18" s="10">
        <f ca="1">'Asset Finance'!O$15</f>
        <v>0</v>
      </c>
      <c r="P18" s="10">
        <f ca="1">'Asset Finance'!P$15</f>
        <v>0</v>
      </c>
      <c r="Q18" s="10">
        <f ca="1">'Asset Finance'!Q$15</f>
        <v>0</v>
      </c>
      <c r="R18" s="10">
        <f ca="1">'Asset Finance'!R$15</f>
        <v>0</v>
      </c>
      <c r="S18" s="10">
        <f ca="1">'Asset Finance'!S$15</f>
        <v>0</v>
      </c>
      <c r="T18" s="10">
        <f ca="1">'Asset Finance'!T$15</f>
        <v>0</v>
      </c>
      <c r="U18" s="10">
        <f ca="1">'Asset Finance'!U$15</f>
        <v>0</v>
      </c>
      <c r="V18" s="10">
        <f ca="1">'Asset Finance'!V$15</f>
        <v>0</v>
      </c>
      <c r="W18" s="10">
        <f ca="1">'Asset Finance'!W$15</f>
        <v>0</v>
      </c>
      <c r="X18" s="10">
        <f ca="1">'Asset Finance'!X$15</f>
        <v>0</v>
      </c>
      <c r="Y18" s="10">
        <f ca="1">'Asset Finance'!Y$15</f>
        <v>0</v>
      </c>
      <c r="Z18" s="10">
        <f ca="1">'Asset Finance'!Z$15</f>
        <v>0</v>
      </c>
      <c r="AA18" s="10">
        <f ca="1">'Asset Finance'!AA$15</f>
        <v>0</v>
      </c>
      <c r="AB18" s="10">
        <f ca="1">'Asset Finance'!AB$15</f>
        <v>0</v>
      </c>
      <c r="AC18" s="10">
        <f ca="1">'Asset Finance'!AC$15</f>
        <v>0</v>
      </c>
      <c r="AD18" s="10">
        <f ca="1">'Asset Finance'!AD$15</f>
        <v>0</v>
      </c>
      <c r="AE18" s="10">
        <f ca="1">'Asset Finance'!AE$15</f>
        <v>0</v>
      </c>
      <c r="AF18" s="10">
        <f ca="1">'Asset Finance'!AF$15</f>
        <v>0</v>
      </c>
      <c r="AG18" s="10">
        <f ca="1">'Asset Finance'!AG$15</f>
        <v>0</v>
      </c>
      <c r="AH18" s="10">
        <f ca="1">'Asset Finance'!AH$15</f>
        <v>0</v>
      </c>
      <c r="AI18" s="10">
        <f ca="1">'Asset Finance'!AI$15</f>
        <v>0</v>
      </c>
      <c r="AJ18" s="10">
        <f ca="1">'Asset Finance'!AJ$15</f>
        <v>0</v>
      </c>
      <c r="AK18" s="10">
        <f ca="1">'Asset Finance'!AK$15</f>
        <v>0</v>
      </c>
      <c r="AL18" s="10">
        <f ca="1">'Asset Finance'!AL$15</f>
        <v>0</v>
      </c>
      <c r="AM18" s="10">
        <f ca="1">'Asset Finance'!AM$15</f>
        <v>0</v>
      </c>
      <c r="AN18" s="10">
        <f ca="1">'Asset Finance'!AN$15</f>
        <v>0</v>
      </c>
      <c r="AO18" s="10">
        <f ca="1">'Asset Finance'!AO$15</f>
        <v>0</v>
      </c>
      <c r="AP18" s="10">
        <f ca="1">'Asset Finance'!AP$15</f>
        <v>0</v>
      </c>
      <c r="AQ18" s="10">
        <f ca="1">'Asset Finance'!AQ$15</f>
        <v>0</v>
      </c>
      <c r="AR18" s="10">
        <f ca="1">'Asset Finance'!AR$15</f>
        <v>0</v>
      </c>
      <c r="AS18" s="10">
        <f ca="1">'Asset Finance'!AS$15</f>
        <v>0</v>
      </c>
      <c r="AT18" s="10">
        <f ca="1">'Asset Finance'!AT$15</f>
        <v>0</v>
      </c>
      <c r="AU18" s="10">
        <f ca="1">'Asset Finance'!AU$15</f>
        <v>0</v>
      </c>
      <c r="AV18" s="10">
        <f ca="1">'Asset Finance'!AV$15</f>
        <v>0</v>
      </c>
      <c r="AW18" s="10">
        <f ca="1">'Asset Finance'!AW$15</f>
        <v>0</v>
      </c>
      <c r="AX18" s="10">
        <f ca="1">'Asset Finance'!AX$15</f>
        <v>0</v>
      </c>
      <c r="AY18" s="10">
        <f ca="1">'Asset Finance'!AY$15</f>
        <v>0</v>
      </c>
      <c r="AZ18" s="10">
        <f ca="1">'Asset Finance'!AZ$15</f>
        <v>0</v>
      </c>
      <c r="BA18" s="10">
        <f ca="1">'Asset Finance'!BA$15</f>
        <v>0</v>
      </c>
      <c r="BB18" s="10">
        <f ca="1">'Asset Finance'!BB$15</f>
        <v>0</v>
      </c>
      <c r="BC18" s="10">
        <f ca="1">'Asset Finance'!BC$15</f>
        <v>0</v>
      </c>
      <c r="BD18" s="10">
        <f ca="1">'Asset Finance'!BD$15</f>
        <v>0</v>
      </c>
      <c r="BE18" s="10">
        <f ca="1">'Asset Finance'!BE$15</f>
        <v>0</v>
      </c>
      <c r="BF18" s="10">
        <f ca="1">'Asset Finance'!BF$15</f>
        <v>0</v>
      </c>
      <c r="BG18" s="10">
        <f ca="1">'Asset Finance'!BG$15</f>
        <v>0</v>
      </c>
      <c r="BH18" s="10">
        <f ca="1">'Asset Finance'!BH$15</f>
        <v>0</v>
      </c>
      <c r="BI18" s="10">
        <f ca="1">'Asset Finance'!BI$15</f>
        <v>0</v>
      </c>
      <c r="BJ18" s="10">
        <f ca="1">'Asset Finance'!BJ$15</f>
        <v>0</v>
      </c>
      <c r="BK18" s="10">
        <f ca="1">'Asset Finance'!BK$15</f>
        <v>0</v>
      </c>
      <c r="BL18" s="10">
        <f ca="1">'Asset Finance'!BL$15</f>
        <v>0</v>
      </c>
      <c r="BM18" s="10">
        <f ca="1">'Asset Finance'!BM$15</f>
        <v>0</v>
      </c>
      <c r="BN18" s="10">
        <f ca="1">'Asset Finance'!BN$15</f>
        <v>0</v>
      </c>
      <c r="BO18" s="10">
        <f ca="1">'Asset Finance'!BO$15</f>
        <v>0</v>
      </c>
      <c r="BP18" s="10">
        <f ca="1">'Asset Finance'!BP$15</f>
        <v>0</v>
      </c>
      <c r="BQ18" s="10">
        <f ca="1">'Asset Finance'!BQ$15</f>
        <v>0</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VAT!J$32</f>
        <v>-6700</v>
      </c>
      <c r="K19" s="10">
        <f ca="1">VAT!K$32</f>
        <v>-13400</v>
      </c>
      <c r="L19" s="10">
        <f ca="1">VAT!L$32</f>
        <v>91300</v>
      </c>
      <c r="M19" s="10">
        <f ca="1">VAT!M$32</f>
        <v>98539.214314865443</v>
      </c>
      <c r="N19" s="10">
        <f ca="1">VAT!N$32</f>
        <v>97378.428629730886</v>
      </c>
      <c r="O19" s="10">
        <f ca="1">VAT!O$32</f>
        <v>68839.214314865443</v>
      </c>
      <c r="P19" s="10">
        <f ca="1">VAT!P$32</f>
        <v>403616.16498478944</v>
      </c>
      <c r="Q19" s="10">
        <f ca="1">VAT!Q$32</f>
        <v>631993.11565471347</v>
      </c>
      <c r="R19" s="10">
        <f ca="1">VAT!R$32</f>
        <v>74376.95066992403</v>
      </c>
      <c r="S19" s="10">
        <f ca="1">VAT!S$32</f>
        <v>50690.123799579858</v>
      </c>
      <c r="T19" s="10">
        <f ca="1">VAT!T$32</f>
        <v>867003.2969292358</v>
      </c>
      <c r="U19" s="10">
        <f ca="1">VAT!U$32</f>
        <v>-23686.826870344114</v>
      </c>
      <c r="V19" s="10">
        <f ca="1">VAT!V$32</f>
        <v>791314.44814811065</v>
      </c>
      <c r="W19" s="10">
        <f ca="1">VAT!W$32</f>
        <v>1461967.2447645178</v>
      </c>
      <c r="X19" s="10">
        <f ca="1">VAT!X$32</f>
        <v>248302.15095403907</v>
      </c>
      <c r="Y19" s="10">
        <f ca="1">VAT!Y$32</f>
        <v>1095902.2181618491</v>
      </c>
      <c r="Z19" s="10">
        <f ca="1">VAT!Z$32</f>
        <v>1126177.8940359142</v>
      </c>
      <c r="AA19" s="10">
        <f ca="1">VAT!AA$32</f>
        <v>-18515.623776215827</v>
      </c>
      <c r="AB19" s="10">
        <f ca="1">VAT!AB$32</f>
        <v>332134.38678531407</v>
      </c>
      <c r="AC19" s="10">
        <f ca="1">VAT!AC$32</f>
        <v>477913.42386992206</v>
      </c>
      <c r="AD19" s="10">
        <f ca="1">VAT!AD$32</f>
        <v>94796.809735284187</v>
      </c>
      <c r="AE19" s="10">
        <f ca="1">VAT!AE$32</f>
        <v>404423.23431237251</v>
      </c>
      <c r="AF19" s="10">
        <f ca="1">VAT!AF$32</f>
        <v>1551824.6839187241</v>
      </c>
      <c r="AG19" s="10">
        <f ca="1">VAT!AG$32</f>
        <v>305044.1707389825</v>
      </c>
      <c r="AH19" s="10">
        <f ca="1">VAT!AH$32</f>
        <v>1863741.4577048789</v>
      </c>
      <c r="AI19" s="10">
        <f ca="1">VAT!AI$32</f>
        <v>2821767.2882357761</v>
      </c>
      <c r="AJ19" s="10">
        <f ca="1">VAT!AJ$32</f>
        <v>856273.53846796881</v>
      </c>
      <c r="AK19" s="10">
        <f ca="1">VAT!AK$32</f>
        <v>1939353.6503707182</v>
      </c>
      <c r="AL19" s="10">
        <f ca="1">VAT!AL$32</f>
        <v>2615976.0760499444</v>
      </c>
      <c r="AM19" s="10">
        <f ca="1">VAT!AM$32</f>
        <v>626164.27815668099</v>
      </c>
      <c r="AN19" s="10">
        <f ca="1">VAT!AN$32</f>
        <v>1283721.3543661456</v>
      </c>
      <c r="AO19" s="10">
        <f ca="1">VAT!AO$32</f>
        <v>1894976.4836217663</v>
      </c>
      <c r="AP19" s="10">
        <f ca="1">VAT!AP$32</f>
        <v>992290.67455697292</v>
      </c>
      <c r="AQ19" s="10">
        <f ca="1">VAT!AQ$32</f>
        <v>2015303.8579079534</v>
      </c>
      <c r="AR19" s="10">
        <f ca="1">VAT!AR$32</f>
        <v>3418867.0913174599</v>
      </c>
      <c r="AS19" s="10">
        <f ca="1">VAT!AS$32</f>
        <v>1398848.6756747691</v>
      </c>
      <c r="AT19" s="10">
        <f ca="1">VAT!AT$32</f>
        <v>3631502.2061844529</v>
      </c>
      <c r="AU19" s="10">
        <f ca="1">VAT!AU$32</f>
        <v>5017673.1443326734</v>
      </c>
      <c r="AV19" s="10">
        <f ca="1">VAT!AV$32</f>
        <v>2184302.8707854748</v>
      </c>
      <c r="AW19" s="10">
        <f ca="1">VAT!AW$32</f>
        <v>4361248.4226934686</v>
      </c>
      <c r="AX19" s="10">
        <f ca="1">VAT!AX$32</f>
        <v>6495484.829641548</v>
      </c>
      <c r="AY19" s="10">
        <f ca="1">VAT!AY$32</f>
        <v>2546068.8523739846</v>
      </c>
      <c r="AZ19" s="10">
        <f ca="1">VAT!AZ$32</f>
        <v>5083401.6625602217</v>
      </c>
      <c r="BA19" s="10">
        <f ca="1">VAT!BA$32</f>
        <v>7576566.7027095417</v>
      </c>
      <c r="BB19" s="10">
        <f ca="1">VAT!BB$32</f>
        <v>2903452.1261376319</v>
      </c>
      <c r="BC19" s="10">
        <f ca="1">VAT!BC$32</f>
        <v>5761528.7711953595</v>
      </c>
      <c r="BD19" s="10">
        <f ca="1">VAT!BD$32</f>
        <v>9028703.0388964768</v>
      </c>
      <c r="BE19" s="10">
        <f ca="1">VAT!BE$32</f>
        <v>3640623.6012510099</v>
      </c>
      <c r="BF19" s="10">
        <f ca="1">VAT!BF$32</f>
        <v>7688925.6553759025</v>
      </c>
      <c r="BG19" s="10">
        <f ca="1">VAT!BG$32</f>
        <v>11269262.524777869</v>
      </c>
      <c r="BH19" s="10">
        <f ca="1">VAT!BH$32</f>
        <v>4371600.7346764747</v>
      </c>
      <c r="BI19" s="10">
        <f ca="1">VAT!BI$32</f>
        <v>9148559.5899135806</v>
      </c>
      <c r="BJ19" s="10">
        <f ca="1">VAT!BJ$32</f>
        <v>13875100.155230857</v>
      </c>
      <c r="BK19" s="10">
        <f ca="1">VAT!BK$32</f>
        <v>5095205.4561690874</v>
      </c>
      <c r="BL19" s="10">
        <f ca="1">VAT!BL$32</f>
        <v>10558013.353818972</v>
      </c>
      <c r="BM19" s="10">
        <f ca="1">VAT!BM$32</f>
        <v>16002485.711395023</v>
      </c>
      <c r="BN19" s="10">
        <f ca="1">VAT!BN$32</f>
        <v>5775046.5295526776</v>
      </c>
      <c r="BO19" s="10">
        <f ca="1">VAT!BO$32</f>
        <v>12369419.434663955</v>
      </c>
      <c r="BP19" s="10">
        <f ca="1">VAT!BP$32</f>
        <v>18871987.585062012</v>
      </c>
      <c r="BQ19" s="10">
        <f ca="1">VAT!BQ$32</f>
        <v>7284466.817497842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'Corporation tax'!J$78</f>
        <v>0</v>
      </c>
      <c r="K20" s="10">
        <f ca="1">'Corporation tax'!K$78</f>
        <v>0</v>
      </c>
      <c r="L20" s="10">
        <f ca="1">'Corporation tax'!L$78</f>
        <v>0</v>
      </c>
      <c r="M20" s="10">
        <f ca="1">'Corporation tax'!M$78</f>
        <v>0</v>
      </c>
      <c r="N20" s="10">
        <f ca="1">'Corporation tax'!N$78</f>
        <v>0</v>
      </c>
      <c r="O20" s="10">
        <f ca="1">'Corporation tax'!O$78</f>
        <v>0</v>
      </c>
      <c r="P20" s="10">
        <f ca="1">'Corporation tax'!P$78</f>
        <v>36589.187229040661</v>
      </c>
      <c r="Q20" s="10">
        <f ca="1">'Corporation tax'!Q$78</f>
        <v>80343.088568888634</v>
      </c>
      <c r="R20" s="10">
        <f ca="1">'Corporation tax'!R$78</f>
        <v>138096.98990873661</v>
      </c>
      <c r="S20" s="10">
        <f ca="1">'Corporation tax'!S$78</f>
        <v>195723.33616804826</v>
      </c>
      <c r="T20" s="10">
        <f ca="1">'Corporation tax'!T$78</f>
        <v>323349.68242735992</v>
      </c>
      <c r="U20" s="10">
        <f ca="1">'Corporation tax'!U$78</f>
        <v>450976.02868667158</v>
      </c>
      <c r="V20" s="10">
        <f ca="1">'Corporation tax'!V$78</f>
        <v>645978.57872358116</v>
      </c>
      <c r="W20" s="10">
        <f ca="1">'Corporation tax'!W$78</f>
        <v>896416.38099716289</v>
      </c>
      <c r="X20" s="10">
        <f ca="1">'Corporation tax'!X$78</f>
        <v>1155969.6821670486</v>
      </c>
      <c r="Y20" s="10">
        <f ca="1">'Corporation tax'!Y$78</f>
        <v>325438.66699015209</v>
      </c>
      <c r="Z20" s="10">
        <f ca="1">'Corporation tax'!Z$78</f>
        <v>648741.11518224888</v>
      </c>
      <c r="AA20" s="10">
        <f ca="1">'Corporation tax'!AA$78</f>
        <v>968709.86762981722</v>
      </c>
      <c r="AB20" s="10">
        <f ca="1">'Corporation tax'!AB$78</f>
        <v>1285009.888752877</v>
      </c>
      <c r="AC20" s="10">
        <f ca="1">'Corporation tax'!AC$78</f>
        <v>1597567.962922093</v>
      </c>
      <c r="AD20" s="10">
        <f ca="1">'Corporation tax'!AD$78</f>
        <v>1906161.5823926614</v>
      </c>
      <c r="AE20" s="10">
        <f ca="1">'Corporation tax'!AE$78</f>
        <v>2245414.431546838</v>
      </c>
      <c r="AF20" s="10">
        <f ca="1">'Corporation tax'!AF$78</f>
        <v>2615217.3307595411</v>
      </c>
      <c r="AG20" s="10">
        <f ca="1">'Corporation tax'!AG$78</f>
        <v>3015305.6722375061</v>
      </c>
      <c r="AH20" s="10">
        <f ca="1">'Corporation tax'!AH$78</f>
        <v>3465700.2461692989</v>
      </c>
      <c r="AI20" s="10">
        <f ca="1">'Corporation tax'!AI$78</f>
        <v>3938802.9079692853</v>
      </c>
      <c r="AJ20" s="10">
        <f ca="1">'Corporation tax'!AJ$78</f>
        <v>4469298.9841670301</v>
      </c>
      <c r="AK20" s="10">
        <f ca="1">'Corporation tax'!AK$78</f>
        <v>552409.1273615323</v>
      </c>
      <c r="AL20" s="10">
        <f ca="1">'Corporation tax'!AL$78</f>
        <v>1132405.0751639511</v>
      </c>
      <c r="AM20" s="10">
        <f ca="1">'Corporation tax'!AM$78</f>
        <v>1754733.6314773127</v>
      </c>
      <c r="AN20" s="10">
        <f ca="1">'Corporation tax'!AN$78</f>
        <v>2418847.7838962418</v>
      </c>
      <c r="AO20" s="10">
        <f ca="1">'Corporation tax'!AO$78</f>
        <v>3095358.0424074833</v>
      </c>
      <c r="AP20" s="10">
        <f ca="1">'Corporation tax'!AP$78</f>
        <v>3833939.3915214296</v>
      </c>
      <c r="AQ20" s="10">
        <f ca="1">'Corporation tax'!AQ$78</f>
        <v>4598965.7582233911</v>
      </c>
      <c r="AR20" s="10">
        <f ca="1">'Corporation tax'!AR$78</f>
        <v>5425092.2250424046</v>
      </c>
      <c r="AS20" s="10">
        <f ca="1">'Corporation tax'!AS$78</f>
        <v>6311789.5763919428</v>
      </c>
      <c r="AT20" s="10">
        <f ca="1">'Corporation tax'!AT$78</f>
        <v>7289015.4291087352</v>
      </c>
      <c r="AU20" s="10">
        <f ca="1">'Corporation tax'!AU$78</f>
        <v>8318989.9254117729</v>
      </c>
      <c r="AV20" s="10">
        <f ca="1">'Corporation tax'!AV$78</f>
        <v>9433606.0379642248</v>
      </c>
      <c r="AW20" s="10">
        <f ca="1">'Corporation tax'!AW$78</f>
        <v>1230804.2380511686</v>
      </c>
      <c r="AX20" s="10">
        <f ca="1">'Corporation tax'!AX$78</f>
        <v>2539470.791286557</v>
      </c>
      <c r="AY20" s="10">
        <f ca="1">'Corporation tax'!AY$78</f>
        <v>3957304.760690697</v>
      </c>
      <c r="AZ20" s="10">
        <f ca="1">'Corporation tax'!AZ$78</f>
        <v>5480225.8980286587</v>
      </c>
      <c r="BA20" s="10">
        <f ca="1">'Corporation tax'!BA$78</f>
        <v>7104252.4584738994</v>
      </c>
      <c r="BB20" s="10">
        <f ca="1">'Corporation tax'!BB$78</f>
        <v>8824990.4418280069</v>
      </c>
      <c r="BC20" s="10">
        <f ca="1">'Corporation tax'!BC$78</f>
        <v>10672614.55275248</v>
      </c>
      <c r="BD20" s="10">
        <f ca="1">'Corporation tax'!BD$78</f>
        <v>12642362.707076013</v>
      </c>
      <c r="BE20" s="10">
        <f ca="1">'Corporation tax'!BE$78</f>
        <v>14764009.528499331</v>
      </c>
      <c r="BF20" s="10">
        <f ca="1">'Corporation tax'!BF$78</f>
        <v>17025550.839065265</v>
      </c>
      <c r="BG20" s="10">
        <f ca="1">'Corporation tax'!BG$78</f>
        <v>19421289.436803691</v>
      </c>
      <c r="BH20" s="10">
        <f ca="1">'Corporation tax'!BH$78</f>
        <v>21980011.267040946</v>
      </c>
      <c r="BI20" s="10">
        <f ca="1">'Corporation tax'!BI$78</f>
        <v>2714943.5978658721</v>
      </c>
      <c r="BJ20" s="10">
        <f ca="1">'Corporation tax'!BJ$78</f>
        <v>5601711.8261001837</v>
      </c>
      <c r="BK20" s="10">
        <f ca="1">'Corporation tax'!BK$78</f>
        <v>8652914.8866719976</v>
      </c>
      <c r="BL20" s="10">
        <f ca="1">'Corporation tax'!BL$78</f>
        <v>11895541.334824042</v>
      </c>
      <c r="BM20" s="10">
        <f ca="1">'Corporation tax'!BM$78</f>
        <v>15308878.629190644</v>
      </c>
      <c r="BN20" s="10">
        <f ca="1">'Corporation tax'!BN$78</f>
        <v>18919138.769374978</v>
      </c>
      <c r="BO20" s="10">
        <f ca="1">'Corporation tax'!BO$78</f>
        <v>22751825.840136867</v>
      </c>
      <c r="BP20" s="10">
        <f ca="1">'Corporation tax'!BP$78</f>
        <v>26797260.997696877</v>
      </c>
      <c r="BQ20" s="10">
        <f ca="1">'Corporation tax'!BQ$78</f>
        <v>31079993.489456456</v>
      </c>
    </row>
    <row r="21" spans="5:16384">
      <c r="E21" s="12" t="s">
        <v>227</v>
      </c>
      <c r="F21" s="30"/>
      <c r="G21" s="12" t="s">
        <v>257</v>
      </c>
      <c r="H21" s="54"/>
      <c r="I21" s="30"/>
      <c r="J21" s="12">
        <f t="shared" ref="J21:BQ21" ca="1" si="1" xml:space="preserve"> SUM( J14:J20 )</f>
        <v>-6700</v>
      </c>
      <c r="K21" s="12">
        <f t="shared" ca="1" si="1"/>
        <v>-13400</v>
      </c>
      <c r="L21" s="12">
        <f t="shared" ca="1" si="1"/>
        <v>1176300</v>
      </c>
      <c r="M21" s="12">
        <f t="shared" ca="1" si="1"/>
        <v>1813539.2143148654</v>
      </c>
      <c r="N21" s="12">
        <f t="shared" ca="1" si="1"/>
        <v>2407378.4286297308</v>
      </c>
      <c r="O21" s="12">
        <f t="shared" ca="1" si="1"/>
        <v>2623839.2143148654</v>
      </c>
      <c r="P21" s="12">
        <f t="shared" ca="1" si="1"/>
        <v>5060205.3522138307</v>
      </c>
      <c r="Q21" s="12">
        <f t="shared" ca="1" si="1"/>
        <v>6137336.2042236021</v>
      </c>
      <c r="R21" s="12">
        <f t="shared" ca="1" si="1"/>
        <v>5973473.94057866</v>
      </c>
      <c r="S21" s="12">
        <f t="shared" ca="1" si="1"/>
        <v>5188413.4599676281</v>
      </c>
      <c r="T21" s="12">
        <f t="shared" ca="1" si="1"/>
        <v>9163352.9793565962</v>
      </c>
      <c r="U21" s="12">
        <f t="shared" ca="1" si="1"/>
        <v>7525289.2018163269</v>
      </c>
      <c r="V21" s="12">
        <f t="shared" ca="1" si="1"/>
        <v>11216293.026871692</v>
      </c>
      <c r="W21" s="12">
        <f t="shared" ca="1" si="1"/>
        <v>14106850.082403323</v>
      </c>
      <c r="X21" s="12">
        <f t="shared" ca="1" si="1"/>
        <v>12996365.791608211</v>
      </c>
      <c r="Y21" s="12">
        <f t="shared" ca="1" si="1"/>
        <v>15810364.439656546</v>
      </c>
      <c r="Z21" s="12">
        <f t="shared" ca="1" si="1"/>
        <v>14877064.822612792</v>
      </c>
      <c r="AA21" s="12">
        <f t="shared" ca="1" si="1"/>
        <v>12862340.057248229</v>
      </c>
      <c r="AB21" s="12">
        <f t="shared" ca="1" si="1"/>
        <v>13861790.08893282</v>
      </c>
      <c r="AC21" s="12">
        <f t="shared" ca="1" si="1"/>
        <v>13970127.200186644</v>
      </c>
      <c r="AD21" s="12">
        <f t="shared" ca="1" si="1"/>
        <v>12821104.205522573</v>
      </c>
      <c r="AE21" s="12">
        <f t="shared" ca="1" si="1"/>
        <v>13637983.47925384</v>
      </c>
      <c r="AF21" s="12">
        <f t="shared" ca="1" si="1"/>
        <v>19348187.828072894</v>
      </c>
      <c r="AG21" s="12">
        <f t="shared" ca="1" si="1"/>
        <v>18172495.656371117</v>
      </c>
      <c r="AH21" s="12">
        <f t="shared" ca="1" si="1"/>
        <v>25984587.517268807</v>
      </c>
      <c r="AI21" s="12">
        <f t="shared" ca="1" si="1"/>
        <v>30274088.50775421</v>
      </c>
      <c r="AJ21" s="12">
        <f t="shared" ca="1" si="1"/>
        <v>30702218.336029626</v>
      </c>
      <c r="AK21" s="12">
        <f t="shared" ca="1" si="1"/>
        <v>30926286.332236793</v>
      </c>
      <c r="AL21" s="12">
        <f t="shared" ca="1" si="1"/>
        <v>33017026.964608528</v>
      </c>
      <c r="AM21" s="12">
        <f t="shared" ca="1" si="1"/>
        <v>32335543.723028623</v>
      </c>
      <c r="AN21" s="12">
        <f t="shared" ca="1" si="1"/>
        <v>33940714.95165702</v>
      </c>
      <c r="AO21" s="12">
        <f t="shared" ca="1" si="1"/>
        <v>35347480.33942388</v>
      </c>
      <c r="AP21" s="12">
        <f t="shared" ca="1" si="1"/>
        <v>37356875.879473031</v>
      </c>
      <c r="AQ21" s="12">
        <f t="shared" ca="1" si="1"/>
        <v>40838915.429525971</v>
      </c>
      <c r="AR21" s="12">
        <f t="shared" ca="1" si="1"/>
        <v>46670105.129754491</v>
      </c>
      <c r="AS21" s="12">
        <f t="shared" ca="1" si="1"/>
        <v>48641284.065461338</v>
      </c>
      <c r="AT21" s="12">
        <f t="shared" ca="1" si="1"/>
        <v>58788069.490200698</v>
      </c>
      <c r="AU21" s="12">
        <f t="shared" ca="1" si="1"/>
        <v>63465551.824618965</v>
      </c>
      <c r="AV21" s="12">
        <f t="shared" ca="1" si="1"/>
        <v>67726745.808716714</v>
      </c>
      <c r="AW21" s="12">
        <f t="shared" ca="1" si="1"/>
        <v>67173323.889535755</v>
      </c>
      <c r="AX21" s="12">
        <f t="shared" ca="1" si="1"/>
        <v>75632758.153023079</v>
      </c>
      <c r="AY21" s="12">
        <f t="shared" ca="1" si="1"/>
        <v>79590194.821878806</v>
      </c>
      <c r="AZ21" s="12">
        <f t="shared" ca="1" si="1"/>
        <v>89526671.184575558</v>
      </c>
      <c r="BA21" s="12">
        <f t="shared" ca="1" si="1"/>
        <v>99080380.384437114</v>
      </c>
      <c r="BB21" s="12">
        <f t="shared" ca="1" si="1"/>
        <v>102936835.13582511</v>
      </c>
      <c r="BC21" s="12">
        <f t="shared" ca="1" si="1"/>
        <v>113870681.78776221</v>
      </c>
      <c r="BD21" s="12">
        <f t="shared" ca="1" si="1"/>
        <v>126569106.11518037</v>
      </c>
      <c r="BE21" s="12">
        <f t="shared" ca="1" si="1"/>
        <v>132146675.40435174</v>
      </c>
      <c r="BF21" s="12">
        <f t="shared" ca="1" si="1"/>
        <v>148577832.75746182</v>
      </c>
      <c r="BG21" s="12">
        <f t="shared" ca="1" si="1"/>
        <v>161785083.92992976</v>
      </c>
      <c r="BH21" s="12">
        <f t="shared" ca="1" si="1"/>
        <v>168082542.16564411</v>
      </c>
      <c r="BI21" s="12">
        <f t="shared" ca="1" si="1"/>
        <v>165256303.91474783</v>
      </c>
      <c r="BJ21" s="12">
        <f t="shared" ca="1" si="1"/>
        <v>183675677.22030061</v>
      </c>
      <c r="BK21" s="12">
        <f t="shared" ca="1" si="1"/>
        <v>189878024.84064248</v>
      </c>
      <c r="BL21" s="12">
        <f t="shared" ca="1" si="1"/>
        <v>211640905.92218307</v>
      </c>
      <c r="BM21" s="12">
        <f t="shared" ca="1" si="1"/>
        <v>232372252.6780532</v>
      </c>
      <c r="BN21" s="12">
        <f t="shared" ca="1" si="1"/>
        <v>238717738.23100027</v>
      </c>
      <c r="BO21" s="12">
        <f t="shared" ca="1" si="1"/>
        <v>264988591.9041768</v>
      </c>
      <c r="BP21" s="12">
        <f t="shared" ca="1" si="1"/>
        <v>290266600.9283154</v>
      </c>
      <c r="BQ21" s="12">
        <f t="shared" ca="1" si="1"/>
        <v>300484818.36869133</v>
      </c>
    </row>
    <row r="23" spans="5:16384">
      <c r="E23" s="68" t="str">
        <f xml:space="preserve"> Financials!E$24</f>
        <v>Net Assets</v>
      </c>
      <c r="F23" s="68"/>
      <c r="G23" s="68" t="str">
        <f xml:space="preserve"> Financials!G$24</f>
        <v>GBP</v>
      </c>
      <c r="H23" s="110">
        <f xml:space="preserve"> Financials!H$24</f>
        <v>0</v>
      </c>
      <c r="I23" s="68">
        <f xml:space="preserve"> Financials!I$24</f>
        <v>0</v>
      </c>
      <c r="J23" s="19">
        <f ca="1">Financials!J$24</f>
        <v>-67000</v>
      </c>
      <c r="K23" s="19">
        <f ca="1">Financials!K$24</f>
        <v>-141291.66666666666</v>
      </c>
      <c r="L23" s="19">
        <f ca="1">Financials!L$24</f>
        <v>-131000</v>
      </c>
      <c r="M23" s="19">
        <f ca="1">Financials!M$24</f>
        <v>-86316.190184678882</v>
      </c>
      <c r="N23" s="19">
        <f ca="1">Financials!N$24</f>
        <v>-90632.380369357765</v>
      </c>
      <c r="O23" s="19">
        <f ca="1">Financials!O$24</f>
        <v>-89115.237220703159</v>
      </c>
      <c r="P23" s="19">
        <f ca="1">Financials!P$24</f>
        <v>64773.415582829155</v>
      </c>
      <c r="Q23" s="19">
        <f ca="1">Financials!Q$24</f>
        <v>217914.0209422214</v>
      </c>
      <c r="R23" s="19">
        <f ca="1">Financials!R$24</f>
        <v>441637.95963494666</v>
      </c>
      <c r="S23" s="19">
        <f ca="1">Financials!S$24</f>
        <v>635685.0113388598</v>
      </c>
      <c r="T23" s="19">
        <f ca="1">Financials!T$24</f>
        <v>1109732.0630427729</v>
      </c>
      <c r="U23" s="19">
        <f ca="1">Financials!U$24</f>
        <v>1569195.781413353</v>
      </c>
      <c r="V23" s="19">
        <f ca="1">Financials!V$24</f>
        <v>2283580.9815609902</v>
      </c>
      <c r="W23" s="19">
        <f ca="1">Financials!W$24</f>
        <v>3219707.190655319</v>
      </c>
      <c r="X23" s="19">
        <f ca="1">Financials!X$24</f>
        <v>4185003.7286681943</v>
      </c>
      <c r="Y23" s="19">
        <f ca="1">Financials!Y$24</f>
        <v>5413841.7299621347</v>
      </c>
      <c r="Z23" s="19">
        <f ca="1">Financials!Z$24</f>
        <v>6634134.8560638577</v>
      </c>
      <c r="AA23" s="19">
        <f ca="1">Financials!AA$24</f>
        <v>7848384.8658541273</v>
      </c>
      <c r="AB23" s="19">
        <f ca="1">Financials!AB$24</f>
        <v>9040668.2836797014</v>
      </c>
      <c r="AC23" s="19">
        <f ca="1">Financials!AC$24</f>
        <v>10225275.580356564</v>
      </c>
      <c r="AD23" s="19">
        <f ca="1">Financials!AD$24</f>
        <v>11379441.724905508</v>
      </c>
      <c r="AE23" s="19">
        <f ca="1">Financials!AE$24</f>
        <v>12656244.788188875</v>
      </c>
      <c r="AF23" s="19">
        <f ca="1">Financials!AF$24</f>
        <v>14047956.385039687</v>
      </c>
      <c r="AG23" s="19">
        <f ca="1">Financials!AG$24</f>
        <v>15546226.417618215</v>
      </c>
      <c r="AH23" s="19">
        <f ca="1">Financials!AH$24</f>
        <v>17238429.713345394</v>
      </c>
      <c r="AI23" s="19">
        <f ca="1">Financials!AI$24</f>
        <v>19015632.027212005</v>
      </c>
      <c r="AJ23" s="19">
        <f ca="1">Financials!AJ$24</f>
        <v>21009282.998669654</v>
      </c>
      <c r="AK23" s="19">
        <f ca="1">Financials!AK$24</f>
        <v>23084752.841449115</v>
      </c>
      <c r="AL23" s="19">
        <f ca="1">Financials!AL$24</f>
        <v>25257444.965992115</v>
      </c>
      <c r="AM23" s="19">
        <f ca="1">Financials!AM$24</f>
        <v>27596550.857912235</v>
      </c>
      <c r="AN23" s="19">
        <f ca="1">Financials!AN$24</f>
        <v>30085299.134254612</v>
      </c>
      <c r="AO23" s="19">
        <f ca="1">Financials!AO$24</f>
        <v>32613423.501632914</v>
      </c>
      <c r="AP23" s="19">
        <f ca="1">Financials!AP$24</f>
        <v>35389832.231422037</v>
      </c>
      <c r="AQ23" s="19">
        <f ca="1">Financials!AQ$24</f>
        <v>38250146.031563208</v>
      </c>
      <c r="AR23" s="19">
        <f ca="1">Financials!AR$24</f>
        <v>41347568.565505944</v>
      </c>
      <c r="AS23" s="19">
        <f ca="1">Financials!AS$24</f>
        <v>44665399.637570754</v>
      </c>
      <c r="AT23" s="19">
        <f ca="1">Financials!AT$24</f>
        <v>48330761.381771252</v>
      </c>
      <c r="AU23" s="19">
        <f ca="1">Financials!AU$24</f>
        <v>52185676.285379782</v>
      </c>
      <c r="AV23" s="19">
        <f ca="1">Financials!AV$24</f>
        <v>56358175.60642153</v>
      </c>
      <c r="AW23" s="19">
        <f ca="1">Financials!AW$24</f>
        <v>60974932.064671725</v>
      </c>
      <c r="AX23" s="19">
        <f ca="1">Financials!AX$24</f>
        <v>65883158.041314259</v>
      </c>
      <c r="AY23" s="19">
        <f ca="1">Financials!AY$24</f>
        <v>71201328.556568488</v>
      </c>
      <c r="AZ23" s="19">
        <f ca="1">Financials!AZ$24</f>
        <v>76913701.384116977</v>
      </c>
      <c r="BA23" s="19">
        <f ca="1">Financials!BA$24</f>
        <v>83012254.393196791</v>
      </c>
      <c r="BB23" s="19">
        <f ca="1">Financials!BB$24</f>
        <v>89465477.893249348</v>
      </c>
      <c r="BC23" s="19">
        <f ca="1">Financials!BC$24</f>
        <v>96402050.642972484</v>
      </c>
      <c r="BD23" s="19">
        <f ca="1">Financials!BD$24</f>
        <v>103789070.17259806</v>
      </c>
      <c r="BE23" s="19">
        <f ca="1">Financials!BE$24</f>
        <v>111753699.20434937</v>
      </c>
      <c r="BF23" s="19">
        <f ca="1">Financials!BF$24</f>
        <v>120241447.85933784</v>
      </c>
      <c r="BG23" s="19">
        <f ca="1">Financials!BG$24</f>
        <v>129231706.999809</v>
      </c>
      <c r="BH23" s="19">
        <f ca="1">Financials!BH$24</f>
        <v>138840539.14181334</v>
      </c>
      <c r="BI23" s="19">
        <f ca="1">Financials!BI$24</f>
        <v>149027288.45809257</v>
      </c>
      <c r="BJ23" s="19">
        <f ca="1">Financials!BJ$24</f>
        <v>159862689.31115657</v>
      </c>
      <c r="BK23" s="19">
        <f ca="1">Financials!BK$24</f>
        <v>171313608.40811053</v>
      </c>
      <c r="BL23" s="19">
        <f ca="1">Financials!BL$24</f>
        <v>183489157.50316998</v>
      </c>
      <c r="BM23" s="19">
        <f ca="1">Financials!BM$24</f>
        <v>196293129.46129221</v>
      </c>
      <c r="BN23" s="19">
        <f ca="1">Financials!BN$24</f>
        <v>209841588.2346932</v>
      </c>
      <c r="BO23" s="19">
        <f ca="1">Financials!BO$24</f>
        <v>224223343.37584928</v>
      </c>
      <c r="BP23" s="19">
        <f ca="1">Financials!BP$24</f>
        <v>239408429.57681024</v>
      </c>
      <c r="BQ23" s="19">
        <f ca="1">Financials!BQ$24</f>
        <v>255482005.61535609</v>
      </c>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Financials!J$38</f>
        <v>-67000</v>
      </c>
      <c r="K25" s="10">
        <f ca="1">Financials!K$38</f>
        <v>-141291.66666666669</v>
      </c>
      <c r="L25" s="10">
        <f ca="1">Financials!L$38</f>
        <v>-131000.00000000001</v>
      </c>
      <c r="M25" s="10">
        <f ca="1">Financials!M$38</f>
        <v>-86316.190184678868</v>
      </c>
      <c r="N25" s="10">
        <f ca="1">Financials!N$38</f>
        <v>-90632.380369357721</v>
      </c>
      <c r="O25" s="10">
        <f ca="1">Financials!O$38</f>
        <v>-89115.237220703246</v>
      </c>
      <c r="P25" s="10">
        <f ca="1">Financials!P$38</f>
        <v>64773.415582829301</v>
      </c>
      <c r="Q25" s="10">
        <f ca="1">Financials!Q$38</f>
        <v>217914.02094222119</v>
      </c>
      <c r="R25" s="10">
        <f ca="1">Financials!R$38</f>
        <v>441637.95963494637</v>
      </c>
      <c r="S25" s="10">
        <f ca="1">Financials!S$38</f>
        <v>635685.01133885968</v>
      </c>
      <c r="T25" s="10">
        <f ca="1">Financials!T$38</f>
        <v>1109732.0630427729</v>
      </c>
      <c r="U25" s="10">
        <f ca="1">Financials!U$38</f>
        <v>1569195.781413353</v>
      </c>
      <c r="V25" s="10">
        <f ca="1">Financials!V$38</f>
        <v>2283580.9815609911</v>
      </c>
      <c r="W25" s="10">
        <f ca="1">Financials!W$38</f>
        <v>3219707.1906553181</v>
      </c>
      <c r="X25" s="10">
        <f ca="1">Financials!X$38</f>
        <v>4185003.7286681943</v>
      </c>
      <c r="Y25" s="10">
        <f ca="1">Financials!Y$38</f>
        <v>5413841.7299621366</v>
      </c>
      <c r="Z25" s="10">
        <f ca="1">Financials!Z$38</f>
        <v>6634134.8560638577</v>
      </c>
      <c r="AA25" s="10">
        <f ca="1">Financials!AA$38</f>
        <v>7848384.8658541311</v>
      </c>
      <c r="AB25" s="10">
        <f ca="1">Financials!AB$38</f>
        <v>9040668.2836797033</v>
      </c>
      <c r="AC25" s="10">
        <f ca="1">Financials!AC$38</f>
        <v>10225275.580356568</v>
      </c>
      <c r="AD25" s="10">
        <f ca="1">Financials!AD$38</f>
        <v>11379441.724905508</v>
      </c>
      <c r="AE25" s="10">
        <f ca="1">Financials!AE$38</f>
        <v>12656244.78818888</v>
      </c>
      <c r="AF25" s="10">
        <f ca="1">Financials!AF$38</f>
        <v>14047956.385039691</v>
      </c>
      <c r="AG25" s="10">
        <f ca="1">Financials!AG$38</f>
        <v>15546226.417618219</v>
      </c>
      <c r="AH25" s="10">
        <f ca="1">Financials!AH$38</f>
        <v>17238429.71334539</v>
      </c>
      <c r="AI25" s="10">
        <f ca="1">Financials!AI$38</f>
        <v>19015632.027212001</v>
      </c>
      <c r="AJ25" s="10">
        <f ca="1">Financials!AJ$38</f>
        <v>21009282.998669647</v>
      </c>
      <c r="AK25" s="10">
        <f ca="1">Financials!AK$38</f>
        <v>23084752.841449108</v>
      </c>
      <c r="AL25" s="10">
        <f ca="1">Financials!AL$38</f>
        <v>25257444.965992115</v>
      </c>
      <c r="AM25" s="10">
        <f ca="1">Financials!AM$38</f>
        <v>27596550.857912228</v>
      </c>
      <c r="AN25" s="10">
        <f ca="1">Financials!AN$38</f>
        <v>30085299.134254608</v>
      </c>
      <c r="AO25" s="10">
        <f ca="1">Financials!AO$38</f>
        <v>32613423.501632906</v>
      </c>
      <c r="AP25" s="10">
        <f ca="1">Financials!AP$38</f>
        <v>35389832.231422022</v>
      </c>
      <c r="AQ25" s="10">
        <f ca="1">Financials!AQ$38</f>
        <v>38250146.0315632</v>
      </c>
      <c r="AR25" s="10">
        <f ca="1">Financials!AR$38</f>
        <v>41347568.565505922</v>
      </c>
      <c r="AS25" s="10">
        <f ca="1">Financials!AS$38</f>
        <v>44665399.637570739</v>
      </c>
      <c r="AT25" s="10">
        <f ca="1">Financials!AT$38</f>
        <v>48330761.381771237</v>
      </c>
      <c r="AU25" s="10">
        <f ca="1">Financials!AU$38</f>
        <v>52185676.28537976</v>
      </c>
      <c r="AV25" s="10">
        <f ca="1">Financials!AV$38</f>
        <v>56358175.606421523</v>
      </c>
      <c r="AW25" s="10">
        <f ca="1">Financials!AW$38</f>
        <v>60974932.06467171</v>
      </c>
      <c r="AX25" s="10">
        <f ca="1">Financials!AX$38</f>
        <v>65883158.041314267</v>
      </c>
      <c r="AY25" s="10">
        <f ca="1">Financials!AY$38</f>
        <v>71201328.556568488</v>
      </c>
      <c r="AZ25" s="10">
        <f ca="1">Financials!AZ$38</f>
        <v>76913701.384116963</v>
      </c>
      <c r="BA25" s="10">
        <f ca="1">Financials!BA$38</f>
        <v>83012254.393196777</v>
      </c>
      <c r="BB25" s="10">
        <f ca="1">Financials!BB$38</f>
        <v>89465477.893249333</v>
      </c>
      <c r="BC25" s="10">
        <f ca="1">Financials!BC$38</f>
        <v>96402050.642972469</v>
      </c>
      <c r="BD25" s="10">
        <f ca="1">Financials!BD$38</f>
        <v>103789070.17259805</v>
      </c>
      <c r="BE25" s="10">
        <f ca="1">Financials!BE$38</f>
        <v>111753699.20434938</v>
      </c>
      <c r="BF25" s="10">
        <f ca="1">Financials!BF$38</f>
        <v>120241447.85933785</v>
      </c>
      <c r="BG25" s="10">
        <f ca="1">Financials!BG$38</f>
        <v>129231706.99980903</v>
      </c>
      <c r="BH25" s="10">
        <f ca="1">Financials!BH$38</f>
        <v>138840539.14181334</v>
      </c>
      <c r="BI25" s="10">
        <f ca="1">Financials!BI$38</f>
        <v>149027288.4580926</v>
      </c>
      <c r="BJ25" s="10">
        <f ca="1">Financials!BJ$38</f>
        <v>159862689.31115657</v>
      </c>
      <c r="BK25" s="10">
        <f ca="1">Financials!BK$38</f>
        <v>171313608.40811056</v>
      </c>
      <c r="BL25" s="10">
        <f ca="1">Financials!BL$38</f>
        <v>183489157.50317007</v>
      </c>
      <c r="BM25" s="10">
        <f ca="1">Financials!BM$38</f>
        <v>196293129.46129227</v>
      </c>
      <c r="BN25" s="10">
        <f ca="1">Financials!BN$38</f>
        <v>209841588.23469326</v>
      </c>
      <c r="BO25" s="10">
        <f ca="1">Financials!BO$38</f>
        <v>224223343.37584937</v>
      </c>
      <c r="BP25" s="10">
        <f ca="1">Financials!BP$38</f>
        <v>239408429.57681036</v>
      </c>
      <c r="BQ25" s="10">
        <f ca="1">Financials!BQ$38</f>
        <v>255482005.61535621</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Equity!J$13</f>
        <v>0</v>
      </c>
      <c r="K26" s="10">
        <f>Equity!K$13</f>
        <v>0</v>
      </c>
      <c r="L26" s="10">
        <f>Equity!L$13</f>
        <v>0</v>
      </c>
      <c r="M26" s="10">
        <f>Equity!M$13</f>
        <v>0</v>
      </c>
      <c r="N26" s="10">
        <f>Equity!N$13</f>
        <v>0</v>
      </c>
      <c r="O26" s="10">
        <f>Equity!O$13</f>
        <v>0</v>
      </c>
      <c r="P26" s="10">
        <f>Equity!P$13</f>
        <v>0</v>
      </c>
      <c r="Q26" s="10">
        <f>Equity!Q$13</f>
        <v>0</v>
      </c>
      <c r="R26" s="10">
        <f>Equity!R$13</f>
        <v>0</v>
      </c>
      <c r="S26" s="10">
        <f>Equity!S$13</f>
        <v>0</v>
      </c>
      <c r="T26" s="10">
        <f>Equity!T$13</f>
        <v>0</v>
      </c>
      <c r="U26" s="10">
        <f>Equity!U$13</f>
        <v>0</v>
      </c>
      <c r="V26" s="10">
        <f>Equity!V$13</f>
        <v>0</v>
      </c>
      <c r="W26" s="10">
        <f>Equity!W$13</f>
        <v>0</v>
      </c>
      <c r="X26" s="10">
        <f>Equity!X$13</f>
        <v>0</v>
      </c>
      <c r="Y26" s="10">
        <f>Equity!Y$13</f>
        <v>0</v>
      </c>
      <c r="Z26" s="10">
        <f>Equity!Z$13</f>
        <v>0</v>
      </c>
      <c r="AA26" s="10">
        <f>Equity!AA$13</f>
        <v>0</v>
      </c>
      <c r="AB26" s="10">
        <f>Equity!AB$13</f>
        <v>0</v>
      </c>
      <c r="AC26" s="10">
        <f>Equity!AC$13</f>
        <v>0</v>
      </c>
      <c r="AD26" s="10">
        <f>Equity!AD$13</f>
        <v>0</v>
      </c>
      <c r="AE26" s="10">
        <f>Equity!AE$13</f>
        <v>0</v>
      </c>
      <c r="AF26" s="10">
        <f>Equity!AF$13</f>
        <v>0</v>
      </c>
      <c r="AG26" s="10">
        <f>Equity!AG$13</f>
        <v>0</v>
      </c>
      <c r="AH26" s="10">
        <f>Equity!AH$13</f>
        <v>0</v>
      </c>
      <c r="AI26" s="10">
        <f>Equity!AI$13</f>
        <v>0</v>
      </c>
      <c r="AJ26" s="10">
        <f>Equity!AJ$13</f>
        <v>0</v>
      </c>
      <c r="AK26" s="10">
        <f>Equity!AK$13</f>
        <v>0</v>
      </c>
      <c r="AL26" s="10">
        <f>Equity!AL$13</f>
        <v>0</v>
      </c>
      <c r="AM26" s="10">
        <f>Equity!AM$13</f>
        <v>0</v>
      </c>
      <c r="AN26" s="10">
        <f>Equity!AN$13</f>
        <v>0</v>
      </c>
      <c r="AO26" s="10">
        <f>Equity!AO$13</f>
        <v>0</v>
      </c>
      <c r="AP26" s="10">
        <f>Equity!AP$13</f>
        <v>0</v>
      </c>
      <c r="AQ26" s="10">
        <f>Equity!AQ$13</f>
        <v>0</v>
      </c>
      <c r="AR26" s="10">
        <f>Equity!AR$13</f>
        <v>0</v>
      </c>
      <c r="AS26" s="10">
        <f>Equity!AS$13</f>
        <v>0</v>
      </c>
      <c r="AT26" s="10">
        <f>Equity!AT$13</f>
        <v>0</v>
      </c>
      <c r="AU26" s="10">
        <f>Equity!AU$13</f>
        <v>0</v>
      </c>
      <c r="AV26" s="10">
        <f>Equity!AV$13</f>
        <v>0</v>
      </c>
      <c r="AW26" s="10">
        <f>Equity!AW$13</f>
        <v>0</v>
      </c>
      <c r="AX26" s="10">
        <f>Equity!AX$13</f>
        <v>0</v>
      </c>
      <c r="AY26" s="10">
        <f>Equity!AY$13</f>
        <v>0</v>
      </c>
      <c r="AZ26" s="10">
        <f>Equity!AZ$13</f>
        <v>0</v>
      </c>
      <c r="BA26" s="10">
        <f>Equity!BA$13</f>
        <v>0</v>
      </c>
      <c r="BB26" s="10">
        <f>Equity!BB$13</f>
        <v>0</v>
      </c>
      <c r="BC26" s="10">
        <f>Equity!BC$13</f>
        <v>0</v>
      </c>
      <c r="BD26" s="10">
        <f>Equity!BD$13</f>
        <v>0</v>
      </c>
      <c r="BE26" s="10">
        <f>Equity!BE$13</f>
        <v>0</v>
      </c>
      <c r="BF26" s="10">
        <f>Equity!BF$13</f>
        <v>0</v>
      </c>
      <c r="BG26" s="10">
        <f>Equity!BG$13</f>
        <v>0</v>
      </c>
      <c r="BH26" s="10">
        <f>Equity!BH$13</f>
        <v>0</v>
      </c>
      <c r="BI26" s="10">
        <f>Equity!BI$13</f>
        <v>0</v>
      </c>
      <c r="BJ26" s="10">
        <f>Equity!BJ$13</f>
        <v>0</v>
      </c>
      <c r="BK26" s="10">
        <f>Equity!BK$13</f>
        <v>0</v>
      </c>
      <c r="BL26" s="10">
        <f>Equity!BL$13</f>
        <v>0</v>
      </c>
      <c r="BM26" s="10">
        <f>Equity!BM$13</f>
        <v>0</v>
      </c>
      <c r="BN26" s="10">
        <f>Equity!BN$13</f>
        <v>0</v>
      </c>
      <c r="BO26" s="10">
        <f>Equity!BO$13</f>
        <v>0</v>
      </c>
      <c r="BP26" s="10">
        <f>Equity!BP$13</f>
        <v>0</v>
      </c>
      <c r="BQ26" s="10">
        <f>Equity!BQ$13</f>
        <v>0</v>
      </c>
    </row>
    <row r="27" spans="5:16384">
      <c r="E27" s="68" t="str">
        <f xml:space="preserve"> Financials!E$30</f>
        <v>Shareholder Equity</v>
      </c>
      <c r="F27" s="68"/>
      <c r="G27" s="68" t="str">
        <f xml:space="preserve"> Financials!G$30</f>
        <v>GBP</v>
      </c>
      <c r="H27" s="110">
        <f xml:space="preserve"> Financials!H$30</f>
        <v>0</v>
      </c>
      <c r="I27" s="68">
        <f xml:space="preserve"> Financials!I$30</f>
        <v>0</v>
      </c>
      <c r="J27" s="19">
        <f ca="1">Financials!J$30</f>
        <v>-67000</v>
      </c>
      <c r="K27" s="19">
        <f ca="1">Financials!K$30</f>
        <v>-141291.66666666669</v>
      </c>
      <c r="L27" s="19">
        <f ca="1">Financials!L$30</f>
        <v>-131000.00000000001</v>
      </c>
      <c r="M27" s="19">
        <f ca="1">Financials!M$30</f>
        <v>-86316.190184678868</v>
      </c>
      <c r="N27" s="19">
        <f ca="1">Financials!N$30</f>
        <v>-90632.380369357721</v>
      </c>
      <c r="O27" s="19">
        <f ca="1">Financials!O$30</f>
        <v>-89115.237220703246</v>
      </c>
      <c r="P27" s="19">
        <f ca="1">Financials!P$30</f>
        <v>64773.415582829301</v>
      </c>
      <c r="Q27" s="19">
        <f ca="1">Financials!Q$30</f>
        <v>217914.02094222119</v>
      </c>
      <c r="R27" s="19">
        <f ca="1">Financials!R$30</f>
        <v>441637.95963494637</v>
      </c>
      <c r="S27" s="19">
        <f ca="1">Financials!S$30</f>
        <v>635685.01133885968</v>
      </c>
      <c r="T27" s="19">
        <f ca="1">Financials!T$30</f>
        <v>1109732.0630427729</v>
      </c>
      <c r="U27" s="19">
        <f ca="1">Financials!U$30</f>
        <v>1569195.781413353</v>
      </c>
      <c r="V27" s="19">
        <f ca="1">Financials!V$30</f>
        <v>2283580.9815609911</v>
      </c>
      <c r="W27" s="19">
        <f ca="1">Financials!W$30</f>
        <v>3219707.1906553181</v>
      </c>
      <c r="X27" s="19">
        <f ca="1">Financials!X$30</f>
        <v>4185003.7286681943</v>
      </c>
      <c r="Y27" s="19">
        <f ca="1">Financials!Y$30</f>
        <v>5413841.7299621366</v>
      </c>
      <c r="Z27" s="19">
        <f ca="1">Financials!Z$30</f>
        <v>6634134.8560638577</v>
      </c>
      <c r="AA27" s="19">
        <f ca="1">Financials!AA$30</f>
        <v>7848384.8658541311</v>
      </c>
      <c r="AB27" s="19">
        <f ca="1">Financials!AB$30</f>
        <v>9040668.2836797033</v>
      </c>
      <c r="AC27" s="19">
        <f ca="1">Financials!AC$30</f>
        <v>10225275.580356568</v>
      </c>
      <c r="AD27" s="19">
        <f ca="1">Financials!AD$30</f>
        <v>11379441.724905508</v>
      </c>
      <c r="AE27" s="19">
        <f ca="1">Financials!AE$30</f>
        <v>12656244.78818888</v>
      </c>
      <c r="AF27" s="19">
        <f ca="1">Financials!AF$30</f>
        <v>14047956.385039691</v>
      </c>
      <c r="AG27" s="19">
        <f ca="1">Financials!AG$30</f>
        <v>15546226.417618219</v>
      </c>
      <c r="AH27" s="19">
        <f ca="1">Financials!AH$30</f>
        <v>17238429.71334539</v>
      </c>
      <c r="AI27" s="19">
        <f ca="1">Financials!AI$30</f>
        <v>19015632.027212001</v>
      </c>
      <c r="AJ27" s="19">
        <f ca="1">Financials!AJ$30</f>
        <v>21009282.998669647</v>
      </c>
      <c r="AK27" s="19">
        <f ca="1">Financials!AK$30</f>
        <v>23084752.841449108</v>
      </c>
      <c r="AL27" s="19">
        <f ca="1">Financials!AL$30</f>
        <v>25257444.965992115</v>
      </c>
      <c r="AM27" s="19">
        <f ca="1">Financials!AM$30</f>
        <v>27596550.857912228</v>
      </c>
      <c r="AN27" s="19">
        <f ca="1">Financials!AN$30</f>
        <v>30085299.134254608</v>
      </c>
      <c r="AO27" s="19">
        <f ca="1">Financials!AO$30</f>
        <v>32613423.501632906</v>
      </c>
      <c r="AP27" s="19">
        <f ca="1">Financials!AP$30</f>
        <v>35389832.231422022</v>
      </c>
      <c r="AQ27" s="19">
        <f ca="1">Financials!AQ$30</f>
        <v>38250146.0315632</v>
      </c>
      <c r="AR27" s="19">
        <f ca="1">Financials!AR$30</f>
        <v>41347568.565505922</v>
      </c>
      <c r="AS27" s="19">
        <f ca="1">Financials!AS$30</f>
        <v>44665399.637570739</v>
      </c>
      <c r="AT27" s="19">
        <f ca="1">Financials!AT$30</f>
        <v>48330761.381771237</v>
      </c>
      <c r="AU27" s="19">
        <f ca="1">Financials!AU$30</f>
        <v>52185676.28537976</v>
      </c>
      <c r="AV27" s="19">
        <f ca="1">Financials!AV$30</f>
        <v>56358175.606421523</v>
      </c>
      <c r="AW27" s="19">
        <f ca="1">Financials!AW$30</f>
        <v>60974932.06467171</v>
      </c>
      <c r="AX27" s="19">
        <f ca="1">Financials!AX$30</f>
        <v>65883158.041314267</v>
      </c>
      <c r="AY27" s="19">
        <f ca="1">Financials!AY$30</f>
        <v>71201328.556568488</v>
      </c>
      <c r="AZ27" s="19">
        <f ca="1">Financials!AZ$30</f>
        <v>76913701.384116963</v>
      </c>
      <c r="BA27" s="19">
        <f ca="1">Financials!BA$30</f>
        <v>83012254.393196777</v>
      </c>
      <c r="BB27" s="19">
        <f ca="1">Financials!BB$30</f>
        <v>89465477.893249333</v>
      </c>
      <c r="BC27" s="19">
        <f ca="1">Financials!BC$30</f>
        <v>96402050.642972469</v>
      </c>
      <c r="BD27" s="19">
        <f ca="1">Financials!BD$30</f>
        <v>103789070.17259805</v>
      </c>
      <c r="BE27" s="19">
        <f ca="1">Financials!BE$30</f>
        <v>111753699.20434938</v>
      </c>
      <c r="BF27" s="19">
        <f ca="1">Financials!BF$30</f>
        <v>120241447.85933785</v>
      </c>
      <c r="BG27" s="19">
        <f ca="1">Financials!BG$30</f>
        <v>129231706.99980903</v>
      </c>
      <c r="BH27" s="19">
        <f ca="1">Financials!BH$30</f>
        <v>138840539.14181334</v>
      </c>
      <c r="BI27" s="19">
        <f ca="1">Financials!BI$30</f>
        <v>149027288.4580926</v>
      </c>
      <c r="BJ27" s="19">
        <f ca="1">Financials!BJ$30</f>
        <v>159862689.31115657</v>
      </c>
      <c r="BK27" s="19">
        <f ca="1">Financials!BK$30</f>
        <v>171313608.40811056</v>
      </c>
      <c r="BL27" s="19">
        <f ca="1">Financials!BL$30</f>
        <v>183489157.50317007</v>
      </c>
      <c r="BM27" s="19">
        <f ca="1">Financials!BM$30</f>
        <v>196293129.46129227</v>
      </c>
      <c r="BN27" s="19">
        <f ca="1">Financials!BN$30</f>
        <v>209841588.23469326</v>
      </c>
      <c r="BO27" s="19">
        <f ca="1">Financials!BO$30</f>
        <v>224223343.37584937</v>
      </c>
      <c r="BP27" s="19">
        <f ca="1">Financials!BP$30</f>
        <v>239408429.57681036</v>
      </c>
      <c r="BQ27" s="19">
        <f ca="1">Financials!BQ$30</f>
        <v>255482005.61535621</v>
      </c>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91" priority="1" stopIfTrue="1" operator="notEqual">
      <formula>0</formula>
    </cfRule>
    <cfRule type="cellIs" dxfId="90" priority="2" stopIfTrue="1" operator="equal">
      <formula>""</formula>
    </cfRule>
  </conditionalFormatting>
  <conditionalFormatting sqref="J3:BQ3">
    <cfRule type="cellIs" dxfId="89" priority="3" operator="equal">
      <formula>"PPA ext."</formula>
    </cfRule>
    <cfRule type="cellIs" dxfId="88" priority="4" operator="equal">
      <formula>"Delay"</formula>
    </cfRule>
    <cfRule type="cellIs" dxfId="87" priority="5" operator="equal">
      <formula>"Fin Close"</formula>
    </cfRule>
    <cfRule type="cellIs" dxfId="86" priority="6" stopIfTrue="1" operator="equal">
      <formula>"Construction"</formula>
    </cfRule>
    <cfRule type="cellIs" dxfId="8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1" width="11.77734375" bestFit="1" customWidth="1"/>
    <col min="12" max="12" width="11.88671875" bestFit="1" customWidth="1"/>
    <col min="13" max="13" width="11.77734375" bestFit="1" customWidth="1"/>
    <col min="14" max="21" width="13.21875" bestFit="1" customWidth="1"/>
    <col min="22" max="29" width="14.44140625" bestFit="1" customWidth="1"/>
  </cols>
  <sheetData>
    <row r="1" spans="1:29" s="72" customFormat="1" ht="25">
      <c r="A1" s="46" t="str">
        <f ca="1" xml:space="preserve"> RIGHT(CELL("filename", A1), LEN(CELL("filename", A1)) - SEARCH("]", CELL("filename", A1)))</f>
        <v>Balance Sheet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Assets!E$24</f>
        <v>Inventory</v>
      </c>
      <c r="F8" s="17">
        <f xml:space="preserve"> Assets!F$24</f>
        <v>0</v>
      </c>
      <c r="G8" s="17" t="str">
        <f xml:space="preserve"> Assets!G$24</f>
        <v>GBP</v>
      </c>
      <c r="H8" s="44">
        <f xml:space="preserve"> Assets!H$24</f>
        <v>0</v>
      </c>
      <c r="I8" s="17">
        <f xml:space="preserve"> Assets!I$24</f>
        <v>0</v>
      </c>
      <c r="J8" s="10">
        <f ca="1" xml:space="preserve"> SUMIF( Time!$J337:$BQ337, Time!J$28, Assets!$J24:$BQ24)</f>
        <v>350000</v>
      </c>
      <c r="K8" s="10">
        <f ca="1" xml:space="preserve"> SUMIF( Time!$J337:$BQ337, Time!K$28, Assets!$J24:$BQ24)</f>
        <v>1050000</v>
      </c>
      <c r="L8" s="10">
        <f ca="1" xml:space="preserve"> SUMIF( Time!$J337:$BQ337, Time!L$28, Assets!$J24:$BQ24)</f>
        <v>1750000</v>
      </c>
      <c r="M8" s="10">
        <f ca="1" xml:space="preserve"> SUMIF( Time!$J337:$BQ337, Time!M$28, Assets!$J24:$BQ24)</f>
        <v>1750000</v>
      </c>
      <c r="N8" s="10">
        <f ca="1" xml:space="preserve"> SUMIF( Time!$J337:$BQ337, Time!N$28, Assets!$J24:$BQ24)</f>
        <v>1925000</v>
      </c>
      <c r="O8" s="10">
        <f ca="1" xml:space="preserve"> SUMIF( Time!$J337:$BQ337, Time!O$28, Assets!$J24:$BQ24)</f>
        <v>2625000</v>
      </c>
      <c r="P8" s="10">
        <f ca="1" xml:space="preserve"> SUMIF( Time!$J337:$BQ337, Time!P$28, Assets!$J24:$BQ24)</f>
        <v>3325000</v>
      </c>
      <c r="Q8" s="10">
        <f ca="1" xml:space="preserve"> SUMIF( Time!$J337:$BQ337, Time!Q$28, Assets!$J24:$BQ24)</f>
        <v>4375000</v>
      </c>
      <c r="R8" s="10">
        <f ca="1" xml:space="preserve"> SUMIF( Time!$J337:$BQ337, Time!R$28, Assets!$J24:$BQ24)</f>
        <v>5495000</v>
      </c>
      <c r="S8" s="10">
        <f ca="1" xml:space="preserve"> SUMIF( Time!$J337:$BQ337, Time!S$28, Assets!$J24:$BQ24)</f>
        <v>7000000</v>
      </c>
      <c r="T8" s="10">
        <f ca="1" xml:space="preserve"> SUMIF( Time!$J337:$BQ337, Time!T$28, Assets!$J24:$BQ24)</f>
        <v>8645000</v>
      </c>
      <c r="U8" s="10">
        <f ca="1" xml:space="preserve"> SUMIF( Time!$J337:$BQ337, Time!U$28, Assets!$J24:$BQ24)</f>
        <v>10570000</v>
      </c>
      <c r="V8" s="10">
        <f ca="1" xml:space="preserve"> SUMIF( Time!$J337:$BQ337, Time!V$28, Assets!$J24:$BQ24)</f>
        <v>12780051.854907507</v>
      </c>
      <c r="W8" s="10">
        <f ca="1" xml:space="preserve"> SUMIF( Time!$J337:$BQ337, Time!W$28, Assets!$J24:$BQ24)</f>
        <v>15578481.323280858</v>
      </c>
      <c r="X8" s="10">
        <f ca="1" xml:space="preserve"> SUMIF( Time!$J337:$BQ337, Time!X$28, Assets!$J24:$BQ24)</f>
        <v>18769168.6553942</v>
      </c>
      <c r="Y8" s="10">
        <f ca="1" xml:space="preserve"> SUMIF( Time!$J337:$BQ337, Time!Y$28, Assets!$J24:$BQ24)</f>
        <v>22676998.094606489</v>
      </c>
      <c r="Z8" s="10">
        <f ca="1" xml:space="preserve"> SUMIF( Time!$J337:$BQ337, Time!Z$28, Assets!$J24:$BQ24)</f>
        <v>27177601.804421503</v>
      </c>
      <c r="AA8" s="10">
        <f ca="1" xml:space="preserve"> SUMIF( Time!$J337:$BQ337, Time!AA$28, Assets!$J24:$BQ24)</f>
        <v>32378960.741168205</v>
      </c>
      <c r="AB8" s="10">
        <f ca="1" xml:space="preserve"> SUMIF( Time!$J337:$BQ337, Time!AB$28, Assets!$J24:$BQ24)</f>
        <v>38525835.405394889</v>
      </c>
      <c r="AC8" s="10">
        <f ca="1" xml:space="preserve"> SUMIF( Time!$J337:$BQ337, Time!AC$28, Assets!$J24:$BQ24)</f>
        <v>45868994.283819467</v>
      </c>
    </row>
    <row r="9" spans="1:29">
      <c r="E9" s="17" t="str">
        <f xml:space="preserve"> Assets!E$34</f>
        <v xml:space="preserve">Depreciation </v>
      </c>
      <c r="F9" s="17">
        <f xml:space="preserve"> Assets!F$34</f>
        <v>0</v>
      </c>
      <c r="G9" s="17" t="str">
        <f xml:space="preserve"> Assets!G$34</f>
        <v>GBP</v>
      </c>
      <c r="H9" s="44">
        <f xml:space="preserve"> Assets!H$34</f>
        <v>0</v>
      </c>
      <c r="I9" s="17">
        <f xml:space="preserve"> Assets!I$34</f>
        <v>0</v>
      </c>
      <c r="J9" s="10">
        <f ca="1" xml:space="preserve"> SUMIF( Time!$J337:$BQ337, Time!J$28, Assets!$J34:$BQ34)</f>
        <v>0</v>
      </c>
      <c r="K9" s="10">
        <f ca="1" xml:space="preserve"> SUMIF( Time!$J337:$BQ337, Time!K$28, Assets!$J34:$BQ34)</f>
        <v>-7291.6666666666661</v>
      </c>
      <c r="L9" s="10">
        <f ca="1" xml:space="preserve"> SUMIF( Time!$J337:$BQ337, Time!L$28, Assets!$J34:$BQ34)</f>
        <v>-43749.999999999993</v>
      </c>
      <c r="M9" s="10">
        <f ca="1" xml:space="preserve"> SUMIF( Time!$J337:$BQ337, Time!M$28, Assets!$J34:$BQ34)</f>
        <v>-167708.33333333331</v>
      </c>
      <c r="N9" s="10">
        <f ca="1" xml:space="preserve"> SUMIF( Time!$J337:$BQ337, Time!N$28, Assets!$J34:$BQ34)</f>
        <v>-371875</v>
      </c>
      <c r="O9" s="10">
        <f ca="1" xml:space="preserve"> SUMIF( Time!$J337:$BQ337, Time!O$28, Assets!$J34:$BQ34)</f>
        <v>-583333.33333333337</v>
      </c>
      <c r="P9" s="10">
        <f ca="1" xml:space="preserve"> SUMIF( Time!$J337:$BQ337, Time!P$28, Assets!$J34:$BQ34)</f>
        <v>-802083.33333333337</v>
      </c>
      <c r="Q9" s="10">
        <f ca="1" xml:space="preserve"> SUMIF( Time!$J337:$BQ337, Time!Q$28, Assets!$J34:$BQ34)</f>
        <v>-1071875</v>
      </c>
      <c r="R9" s="10">
        <f ca="1" xml:space="preserve"> SUMIF( Time!$J337:$BQ337, Time!R$28, Assets!$J34:$BQ34)</f>
        <v>-1319791.6666666665</v>
      </c>
      <c r="S9" s="10">
        <f ca="1" xml:space="preserve"> SUMIF( Time!$J337:$BQ337, Time!S$28, Assets!$J34:$BQ34)</f>
        <v>-1506458.3333333333</v>
      </c>
      <c r="T9" s="10">
        <f ca="1" xml:space="preserve"> SUMIF( Time!$J337:$BQ337, Time!T$28, Assets!$J34:$BQ34)</f>
        <v>-1575000</v>
      </c>
      <c r="U9" s="10">
        <f ca="1" xml:space="preserve"> SUMIF( Time!$J337:$BQ337, Time!U$28, Assets!$J34:$BQ34)</f>
        <v>-1685833.3333333333</v>
      </c>
      <c r="V9" s="10">
        <f ca="1" xml:space="preserve"> SUMIF( Time!$J337:$BQ337, Time!V$28, Assets!$J34:$BQ34)</f>
        <v>-1890375.0656791781</v>
      </c>
      <c r="W9" s="10">
        <f ca="1" xml:space="preserve"> SUMIF( Time!$J337:$BQ337, Time!W$28, Assets!$J34:$BQ34)</f>
        <v>-2174870.6266683424</v>
      </c>
      <c r="X9" s="10">
        <f ca="1" xml:space="preserve"> SUMIF( Time!$J337:$BQ337, Time!X$28, Assets!$J34:$BQ34)</f>
        <v>-2547151.3466500752</v>
      </c>
      <c r="Y9" s="10">
        <f ca="1" xml:space="preserve"> SUMIF( Time!$J337:$BQ337, Time!Y$28, Assets!$J34:$BQ34)</f>
        <v>-3022835.8214476039</v>
      </c>
      <c r="Z9" s="10">
        <f ca="1" xml:space="preserve"> SUMIF( Time!$J337:$BQ337, Time!Z$28, Assets!$J34:$BQ34)</f>
        <v>-3525606.5479651038</v>
      </c>
      <c r="AA9" s="10">
        <f ca="1" xml:space="preserve"> SUMIF( Time!$J337:$BQ337, Time!AA$28, Assets!$J34:$BQ34)</f>
        <v>-4040555.7651025774</v>
      </c>
      <c r="AB9" s="10">
        <f ca="1" xml:space="preserve"> SUMIF( Time!$J337:$BQ337, Time!AB$28, Assets!$J34:$BQ34)</f>
        <v>-4499346.133558521</v>
      </c>
      <c r="AC9" s="10">
        <f ca="1" xml:space="preserve"> SUMIF( Time!$J337:$BQ337, Time!AC$28, Assets!$J34:$BQ34)</f>
        <v>-5045506.5116460565</v>
      </c>
    </row>
    <row r="10" spans="1:2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Time!$J337:$BQ337, Time!J$28, 'Working Capital'!$J45:$BQ45)</f>
        <v>1008000</v>
      </c>
      <c r="K10" s="10">
        <f ca="1" xml:space="preserve"> SUMIF( Time!$J337:$BQ337, Time!K$28, 'Working Capital'!$J45:$BQ45)</f>
        <v>1008000</v>
      </c>
      <c r="L10" s="10">
        <f ca="1" xml:space="preserve"> SUMIF( Time!$J337:$BQ337, Time!L$28, 'Working Capital'!$J45:$BQ45)</f>
        <v>2520000</v>
      </c>
      <c r="M10" s="10">
        <f ca="1" xml:space="preserve"> SUMIF( Time!$J337:$BQ337, Time!M$28, 'Working Capital'!$J45:$BQ45)</f>
        <v>5040000</v>
      </c>
      <c r="N10" s="10">
        <f ca="1" xml:space="preserve"> SUMIF( Time!$J337:$BQ337, Time!N$28, 'Working Capital'!$J45:$BQ45)</f>
        <v>6048000</v>
      </c>
      <c r="O10" s="10">
        <f ca="1" xml:space="preserve"> SUMIF( Time!$J337:$BQ337, Time!O$28, 'Working Capital'!$J45:$BQ45)</f>
        <v>1080746.710668101</v>
      </c>
      <c r="P10" s="10">
        <f ca="1" xml:space="preserve"> SUMIF( Time!$J337:$BQ337, Time!P$28, 'Working Capital'!$J45:$BQ45)</f>
        <v>2520000</v>
      </c>
      <c r="Q10" s="10">
        <f ca="1" xml:space="preserve"> SUMIF( Time!$J337:$BQ337, Time!Q$28, 'Working Capital'!$J45:$BQ45)</f>
        <v>10080000</v>
      </c>
      <c r="R10" s="10">
        <f ca="1" xml:space="preserve"> SUMIF( Time!$J337:$BQ337, Time!R$28, 'Working Capital'!$J45:$BQ45)</f>
        <v>12600000</v>
      </c>
      <c r="S10" s="10">
        <f ca="1" xml:space="preserve"> SUMIF( Time!$J337:$BQ337, Time!S$28, 'Working Capital'!$J45:$BQ45)</f>
        <v>10152746.710668102</v>
      </c>
      <c r="T10" s="10">
        <f ca="1" xml:space="preserve"> SUMIF( Time!$J337:$BQ337, Time!T$28, 'Working Capital'!$J45:$BQ45)</f>
        <v>12600000</v>
      </c>
      <c r="U10" s="10">
        <f ca="1" xml:space="preserve"> SUMIF( Time!$J337:$BQ337, Time!U$28, 'Working Capital'!$J45:$BQ45)</f>
        <v>20160000</v>
      </c>
      <c r="V10" s="10">
        <f ca="1" xml:space="preserve"> SUMIF( Time!$J337:$BQ337, Time!V$28, 'Working Capital'!$J45:$BQ45)</f>
        <v>25200000</v>
      </c>
      <c r="W10" s="10">
        <f ca="1" xml:space="preserve"> SUMIF( Time!$J337:$BQ337, Time!W$28, 'Working Capital'!$J45:$BQ45)</f>
        <v>32760000</v>
      </c>
      <c r="X10" s="10">
        <f ca="1" xml:space="preserve"> SUMIF( Time!$J337:$BQ337, Time!X$28, 'Working Capital'!$J45:$BQ45)</f>
        <v>37800000</v>
      </c>
      <c r="Y10" s="10">
        <f ca="1" xml:space="preserve"> SUMIF( Time!$J337:$BQ337, Time!Y$28, 'Working Capital'!$J45:$BQ45)</f>
        <v>47880000</v>
      </c>
      <c r="Z10" s="10">
        <f ca="1" xml:space="preserve"> SUMIF( Time!$J337:$BQ337, Time!Z$28, 'Working Capital'!$J45:$BQ45)</f>
        <v>55440000</v>
      </c>
      <c r="AA10" s="10">
        <f ca="1" xml:space="preserve"> SUMIF( Time!$J337:$BQ337, Time!AA$28, 'Working Capital'!$J45:$BQ45)</f>
        <v>68040000</v>
      </c>
      <c r="AB10" s="10">
        <f ca="1" xml:space="preserve"> SUMIF( Time!$J337:$BQ337, Time!AB$28, 'Working Capital'!$J45:$BQ45)</f>
        <v>78120000</v>
      </c>
      <c r="AC10" s="10">
        <f ca="1" xml:space="preserve"> SUMIF( Time!$J337:$BQ337, Time!AC$28, 'Working Capital'!$J45:$BQ45)</f>
        <v>95760000</v>
      </c>
    </row>
    <row r="11" spans="1:2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Time!$J337:$BQ337, Time!J$28, Financials!$J13:$BQ13)</f>
        <v>-312700</v>
      </c>
      <c r="K11" s="10">
        <f ca="1" xml:space="preserve"> SUMIF( Time!$J337:$BQ337, Time!K$28, Financials!$J13:$BQ13)</f>
        <v>484015.64376082883</v>
      </c>
      <c r="L11" s="10">
        <f ca="1" xml:space="preserve"> SUMIF( Time!$J337:$BQ337, Time!L$28, Financials!$J13:$BQ13)</f>
        <v>2188861.9002136067</v>
      </c>
      <c r="M11" s="10">
        <f ca="1" xml:space="preserve"> SUMIF( Time!$J337:$BQ337, Time!M$28, Financials!$J13:$BQ13)</f>
        <v>2472193.3165630135</v>
      </c>
      <c r="N11" s="10">
        <f ca="1" xml:space="preserve"> SUMIF( Time!$J337:$BQ337, Time!N$28, Financials!$J13:$BQ13)</f>
        <v>9580244.5202764049</v>
      </c>
      <c r="O11" s="10">
        <f ca="1" xml:space="preserve"> SUMIF( Time!$J337:$BQ337, Time!O$28, Financials!$J13:$BQ13)</f>
        <v>17588311.54576759</v>
      </c>
      <c r="P11" s="10">
        <f ca="1" xml:space="preserve"> SUMIF( Time!$J337:$BQ337, Time!P$28, Financials!$J13:$BQ13)</f>
        <v>19157629.263761412</v>
      </c>
      <c r="Q11" s="10">
        <f ca="1" xml:space="preserve"> SUMIF( Time!$J337:$BQ337, Time!Q$28, Financials!$J13:$BQ13)</f>
        <v>20335597.073989335</v>
      </c>
      <c r="R11" s="10">
        <f ca="1" xml:space="preserve"> SUMIF( Time!$J337:$BQ337, Time!R$28, Financials!$J13:$BQ13)</f>
        <v>34936293.001365945</v>
      </c>
      <c r="S11" s="10">
        <f ca="1" xml:space="preserve"> SUMIF( Time!$J337:$BQ337, Time!S$28, Financials!$J13:$BQ13)</f>
        <v>44285806.203606084</v>
      </c>
      <c r="T11" s="10">
        <f ca="1" xml:space="preserve"> SUMIF( Time!$J337:$BQ337, Time!T$28, Financials!$J13:$BQ13)</f>
        <v>53076708.11089506</v>
      </c>
      <c r="U11" s="10">
        <f ca="1" xml:space="preserve"> SUMIF( Time!$J337:$BQ337, Time!U$28, Financials!$J13:$BQ13)</f>
        <v>64262517.036365427</v>
      </c>
      <c r="V11" s="10">
        <f ca="1" xml:space="preserve"> SUMIF( Time!$J337:$BQ337, Time!V$28, Financials!$J13:$BQ13)</f>
        <v>87995244.625909925</v>
      </c>
      <c r="W11" s="10">
        <f ca="1" xml:space="preserve"> SUMIF( Time!$J337:$BQ337, Time!W$28, Financials!$J13:$BQ13)</f>
        <v>104627912.68183477</v>
      </c>
      <c r="X11" s="10">
        <f ca="1" xml:space="preserve"> SUMIF( Time!$J337:$BQ337, Time!X$28, Financials!$J13:$BQ13)</f>
        <v>138380295.72033033</v>
      </c>
      <c r="Y11" s="10">
        <f ca="1" xml:space="preserve"> SUMIF( Time!$J337:$BQ337, Time!Y$28, Financials!$J13:$BQ13)</f>
        <v>176366212.33554223</v>
      </c>
      <c r="Z11" s="10">
        <f ca="1" xml:space="preserve"> SUMIF( Time!$J337:$BQ337, Time!Z$28, Financials!$J13:$BQ13)</f>
        <v>227831086.05100104</v>
      </c>
      <c r="AA11" s="10">
        <f ca="1" xml:space="preserve"> SUMIF( Time!$J337:$BQ337, Time!AA$28, Financials!$J13:$BQ13)</f>
        <v>264813228.27268738</v>
      </c>
      <c r="AB11" s="10">
        <f ca="1" xml:space="preserve"> SUMIF( Time!$J337:$BQ337, Time!AB$28, Financials!$J13:$BQ13)</f>
        <v>336412837.19385707</v>
      </c>
      <c r="AC11" s="10">
        <f ca="1" xml:space="preserve"> SUMIF( Time!$J337:$BQ337, Time!AC$28, Financials!$J13:$BQ13)</f>
        <v>419383336.21187401</v>
      </c>
    </row>
    <row r="12" spans="1:29">
      <c r="E12" s="12" t="s">
        <v>86</v>
      </c>
      <c r="F12" s="30"/>
      <c r="G12" s="12" t="s">
        <v>257</v>
      </c>
      <c r="H12" s="54"/>
      <c r="I12" s="30"/>
      <c r="J12" s="12">
        <f ca="1" xml:space="preserve"> SUMIF( Time!$J337:$BQ337, Time!J$28, 'Balance Sheet'!$J12:$BQ12)</f>
        <v>1045300</v>
      </c>
      <c r="K12" s="12">
        <f ca="1" xml:space="preserve"> SUMIF( Time!$J337:$BQ337, Time!K$28, 'Balance Sheet'!$J12:$BQ12)</f>
        <v>2534723.9770941623</v>
      </c>
      <c r="L12" s="12">
        <f ca="1" xml:space="preserve"> SUMIF( Time!$J337:$BQ337, Time!L$28, 'Balance Sheet'!$J12:$BQ12)</f>
        <v>6415111.9002136067</v>
      </c>
      <c r="M12" s="12">
        <f ca="1" xml:space="preserve"> SUMIF( Time!$J337:$BQ337, Time!M$28, 'Balance Sheet'!$J12:$BQ12)</f>
        <v>9094484.98322968</v>
      </c>
      <c r="N12" s="12">
        <f ca="1" xml:space="preserve"> SUMIF( Time!$J337:$BQ337, Time!N$28, 'Balance Sheet'!$J12:$BQ12)</f>
        <v>17181369.520276405</v>
      </c>
      <c r="O12" s="12">
        <f ca="1" xml:space="preserve"> SUMIF( Time!$J337:$BQ337, Time!O$28, 'Balance Sheet'!$J12:$BQ12)</f>
        <v>20710724.923102356</v>
      </c>
      <c r="P12" s="12">
        <f ca="1" xml:space="preserve"> SUMIF( Time!$J337:$BQ337, Time!P$28, 'Balance Sheet'!$J12:$BQ12)</f>
        <v>24200545.93042808</v>
      </c>
      <c r="Q12" s="12">
        <f ca="1" xml:space="preserve"> SUMIF( Time!$J337:$BQ337, Time!Q$28, 'Balance Sheet'!$J12:$BQ12)</f>
        <v>33718722.073989332</v>
      </c>
      <c r="R12" s="12">
        <f ca="1" xml:space="preserve"> SUMIF( Time!$J337:$BQ337, Time!R$28, 'Balance Sheet'!$J12:$BQ12)</f>
        <v>51711501.334699281</v>
      </c>
      <c r="S12" s="12">
        <f ca="1" xml:space="preserve"> SUMIF( Time!$J337:$BQ337, Time!S$28, 'Balance Sheet'!$J12:$BQ12)</f>
        <v>59932094.580940858</v>
      </c>
      <c r="T12" s="12">
        <f ca="1" xml:space="preserve"> SUMIF( Time!$J337:$BQ337, Time!T$28, 'Balance Sheet'!$J12:$BQ12)</f>
        <v>72746708.110895067</v>
      </c>
      <c r="U12" s="12">
        <f ca="1" xml:space="preserve"> SUMIF( Time!$J337:$BQ337, Time!U$28, 'Balance Sheet'!$J12:$BQ12)</f>
        <v>93306683.703032091</v>
      </c>
      <c r="V12" s="12">
        <f ca="1" xml:space="preserve"> SUMIF( Time!$J337:$BQ337, Time!V$28, 'Balance Sheet'!$J12:$BQ12)</f>
        <v>124084921.41513824</v>
      </c>
      <c r="W12" s="12">
        <f ca="1" xml:space="preserve"> SUMIF( Time!$J337:$BQ337, Time!W$28, 'Balance Sheet'!$J12:$BQ12)</f>
        <v>150791523.37844729</v>
      </c>
      <c r="X12" s="12">
        <f ca="1" xml:space="preserve"> SUMIF( Time!$J337:$BQ337, Time!X$28, 'Balance Sheet'!$J12:$BQ12)</f>
        <v>192402313.02907446</v>
      </c>
      <c r="Y12" s="12">
        <f ca="1" xml:space="preserve"> SUMIF( Time!$J337:$BQ337, Time!Y$28, 'Balance Sheet'!$J12:$BQ12)</f>
        <v>243900374.60870111</v>
      </c>
      <c r="Z12" s="12">
        <f ca="1" xml:space="preserve"> SUMIF( Time!$J337:$BQ337, Time!Z$28, 'Balance Sheet'!$J12:$BQ12)</f>
        <v>306923081.30745745</v>
      </c>
      <c r="AA12" s="12">
        <f ca="1" xml:space="preserve"> SUMIF( Time!$J337:$BQ337, Time!AA$28, 'Balance Sheet'!$J12:$BQ12)</f>
        <v>361191633.24875301</v>
      </c>
      <c r="AB12" s="12">
        <f ca="1" xml:space="preserve"> SUMIF( Time!$J337:$BQ337, Time!AB$28, 'Balance Sheet'!$J12:$BQ12)</f>
        <v>448559326.46569347</v>
      </c>
      <c r="AC12" s="12">
        <f ca="1" xml:space="preserve"> SUMIF( Time!$J337:$BQ337, Time!AC$28, 'Balance Sheet'!$J12:$BQ12)</f>
        <v>555966823.98404741</v>
      </c>
    </row>
    <row r="14" spans="1:2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Time!$J337:$BQ337, Time!J$28, Income!$J27:$BQ27)</f>
        <v>770000</v>
      </c>
      <c r="K14" s="10">
        <f ca="1" xml:space="preserve"> SUMIF( Time!$J337:$BQ337, Time!K$28, Income!$J27:$BQ27)</f>
        <v>1610000</v>
      </c>
      <c r="L14" s="10">
        <f ca="1" xml:space="preserve"> SUMIF( Time!$J337:$BQ337, Time!L$28, Income!$J27:$BQ27)</f>
        <v>4480000</v>
      </c>
      <c r="M14" s="10">
        <f ca="1" xml:space="preserve"> SUMIF( Time!$J337:$BQ337, Time!M$28, Income!$J27:$BQ27)</f>
        <v>6405000</v>
      </c>
      <c r="N14" s="10">
        <f ca="1" xml:space="preserve"> SUMIF( Time!$J337:$BQ337, Time!N$28, Income!$J27:$BQ27)</f>
        <v>11329593.958487123</v>
      </c>
      <c r="O14" s="10">
        <f ca="1" xml:space="preserve"> SUMIF( Time!$J337:$BQ337, Time!O$28, Income!$J27:$BQ27)</f>
        <v>11019645.813394628</v>
      </c>
      <c r="P14" s="10">
        <f ca="1" xml:space="preserve"> SUMIF( Time!$J337:$BQ337, Time!P$28, Income!$J27:$BQ27)</f>
        <v>9444645.8133946285</v>
      </c>
      <c r="Q14" s="10">
        <f ca="1" xml:space="preserve"> SUMIF( Time!$J337:$BQ337, Time!Q$28, Income!$J27:$BQ27)</f>
        <v>13119645.813394628</v>
      </c>
      <c r="R14" s="10">
        <f ca="1" xml:space="preserve"> SUMIF( Time!$J337:$BQ337, Time!R$28, Income!$J27:$BQ27)</f>
        <v>23129645.813394628</v>
      </c>
      <c r="S14" s="10">
        <f ca="1" xml:space="preserve"> SUMIF( Time!$J337:$BQ337, Time!S$28, Income!$J27:$BQ27)</f>
        <v>27014645.813394628</v>
      </c>
      <c r="T14" s="10">
        <f ca="1" xml:space="preserve"> SUMIF( Time!$J337:$BQ337, Time!T$28, Income!$J27:$BQ27)</f>
        <v>28729645.813394628</v>
      </c>
      <c r="U14" s="10">
        <f ca="1" xml:space="preserve"> SUMIF( Time!$J337:$BQ337, Time!U$28, Income!$J27:$BQ27)</f>
        <v>36394645.813394628</v>
      </c>
      <c r="V14" s="10">
        <f ca="1" xml:space="preserve"> SUMIF( Time!$J337:$BQ337, Time!V$28, Income!$J27:$BQ27)</f>
        <v>50816836.899967015</v>
      </c>
      <c r="W14" s="10">
        <f ca="1" xml:space="preserve"> SUMIF( Time!$J337:$BQ337, Time!W$28, Income!$J27:$BQ27)</f>
        <v>66702821.208814114</v>
      </c>
      <c r="X14" s="10">
        <f ca="1" xml:space="preserve"> SUMIF( Time!$J337:$BQ337, Time!X$28, Income!$J27:$BQ27)</f>
        <v>83553892.567859471</v>
      </c>
      <c r="Y14" s="10">
        <f ca="1" xml:space="preserve"> SUMIF( Time!$J337:$BQ337, Time!Y$28, Income!$J27:$BQ27)</f>
        <v>104617542.2746014</v>
      </c>
      <c r="Z14" s="10">
        <f ca="1" xml:space="preserve"> SUMIF( Time!$J337:$BQ337, Time!Z$28, Income!$J27:$BQ27)</f>
        <v>130789930.16392669</v>
      </c>
      <c r="AA14" s="10">
        <f ca="1" xml:space="preserve"> SUMIF( Time!$J337:$BQ337, Time!AA$28, Income!$J27:$BQ27)</f>
        <v>163162404.49780139</v>
      </c>
      <c r="AB14" s="10">
        <f ca="1" xml:space="preserve"> SUMIF( Time!$J337:$BQ337, Time!AB$28, Income!$J27:$BQ27)</f>
        <v>198504552.93207264</v>
      </c>
      <c r="AC14" s="10">
        <f ca="1" xml:space="preserve"> SUMIF( Time!$J337:$BQ337, Time!AC$28, Income!$J27:$BQ27)</f>
        <v>243514358.06173703</v>
      </c>
    </row>
    <row r="15" spans="1:2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Time!$J337:$BQ337, Time!J$28, 'Working Capital'!$J36:$BQ36)</f>
        <v>315000</v>
      </c>
      <c r="K15" s="10">
        <f ca="1" xml:space="preserve"> SUMIF( Time!$J337:$BQ337, Time!K$28, 'Working Capital'!$J36:$BQ36)</f>
        <v>944999.99999999988</v>
      </c>
      <c r="L15" s="10">
        <f ca="1" xml:space="preserve"> SUMIF( Time!$J337:$BQ337, Time!L$28, 'Working Capital'!$J36:$BQ36)</f>
        <v>1281000</v>
      </c>
      <c r="M15" s="10">
        <f ca="1" xml:space="preserve"> SUMIF( Time!$J337:$BQ337, Time!M$28, 'Working Capital'!$J36:$BQ36)</f>
        <v>692999.99999999977</v>
      </c>
      <c r="N15" s="10">
        <f ca="1" xml:space="preserve"> SUMIF( Time!$J337:$BQ337, Time!N$28, 'Working Capital'!$J36:$BQ36)</f>
        <v>262500</v>
      </c>
      <c r="O15" s="10">
        <f ca="1" xml:space="preserve"> SUMIF( Time!$J337:$BQ337, Time!O$28, 'Working Capital'!$J36:$BQ36)</f>
        <v>892500</v>
      </c>
      <c r="P15" s="10">
        <f ca="1" xml:space="preserve"> SUMIF( Time!$J337:$BQ337, Time!P$28, 'Working Capital'!$J36:$BQ36)</f>
        <v>1375500</v>
      </c>
      <c r="Q15" s="10">
        <f ca="1" xml:space="preserve"> SUMIF( Time!$J337:$BQ337, Time!Q$28, 'Working Capital'!$J36:$BQ36)</f>
        <v>1732499.9999999998</v>
      </c>
      <c r="R15" s="10">
        <f ca="1" xml:space="preserve"> SUMIF( Time!$J337:$BQ337, Time!R$28, 'Working Capital'!$J36:$BQ36)</f>
        <v>2247000</v>
      </c>
      <c r="S15" s="10">
        <f ca="1" xml:space="preserve"> SUMIF( Time!$J337:$BQ337, Time!S$28, 'Working Capital'!$J36:$BQ36)</f>
        <v>2940000</v>
      </c>
      <c r="T15" s="10">
        <f ca="1" xml:space="preserve"> SUMIF( Time!$J337:$BQ337, Time!T$28, 'Working Capital'!$J36:$BQ36)</f>
        <v>3800999.9999999995</v>
      </c>
      <c r="U15" s="10">
        <f ca="1" xml:space="preserve"> SUMIF( Time!$J337:$BQ337, Time!U$28, 'Working Capital'!$J36:$BQ36)</f>
        <v>4536000</v>
      </c>
      <c r="V15" s="10">
        <f ca="1" xml:space="preserve"> SUMIF( Time!$J337:$BQ337, Time!V$28, 'Working Capital'!$J36:$BQ36)</f>
        <v>5292000</v>
      </c>
      <c r="W15" s="10">
        <f ca="1" xml:space="preserve"> SUMIF( Time!$J337:$BQ337, Time!W$28, 'Working Capital'!$J36:$BQ36)</f>
        <v>6383999.9999999981</v>
      </c>
      <c r="X15" s="10">
        <f ca="1" xml:space="preserve"> SUMIF( Time!$J337:$BQ337, Time!X$28, 'Working Capital'!$J36:$BQ36)</f>
        <v>7654499.9999999991</v>
      </c>
      <c r="Y15" s="10">
        <f ca="1" xml:space="preserve"> SUMIF( Time!$J337:$BQ337, Time!Y$28, 'Working Capital'!$J36:$BQ36)</f>
        <v>9124500</v>
      </c>
      <c r="Z15" s="10">
        <f ca="1" xml:space="preserve"> SUMIF( Time!$J337:$BQ337, Time!Z$28, 'Working Capital'!$J36:$BQ36)</f>
        <v>10941000</v>
      </c>
      <c r="AA15" s="10">
        <f ca="1" xml:space="preserve"> SUMIF( Time!$J337:$BQ337, Time!AA$28, 'Working Capital'!$J36:$BQ36)</f>
        <v>12967500</v>
      </c>
      <c r="AB15" s="10">
        <f ca="1" xml:space="preserve"> SUMIF( Time!$J337:$BQ337, Time!AB$28, 'Working Capital'!$J36:$BQ36)</f>
        <v>15519000.000000002</v>
      </c>
      <c r="AC15" s="10">
        <f ca="1" xml:space="preserve"> SUMIF( Time!$J337:$BQ337, Time!AC$28, 'Working Capital'!$J36:$BQ36)</f>
        <v>18606000</v>
      </c>
    </row>
    <row r="16" spans="1:2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Time!$J337:$BQ337, Time!J$28, 'Supply Chain finance'!$J15:$BQ15)</f>
        <v>0</v>
      </c>
      <c r="K16" s="10">
        <f ca="1" xml:space="preserve"> SUMIF( Time!$J337:$BQ337, Time!K$28, 'Supply Chain finance'!$J15:$BQ15)</f>
        <v>0</v>
      </c>
      <c r="L16" s="10">
        <f ca="1" xml:space="preserve"> SUMIF( Time!$J337:$BQ337, Time!L$28, 'Supply Chain finance'!$J15:$BQ15)</f>
        <v>0</v>
      </c>
      <c r="M16" s="10">
        <f ca="1" xml:space="preserve"> SUMIF( Time!$J337:$BQ337, Time!M$28, 'Supply Chain finance'!$J15:$BQ15)</f>
        <v>0</v>
      </c>
      <c r="N16" s="10">
        <f ca="1" xml:space="preserve"> SUMIF( Time!$J337:$BQ337, Time!N$28, 'Supply Chain finance'!$J15:$BQ15)</f>
        <v>0</v>
      </c>
      <c r="O16" s="10">
        <f ca="1" xml:space="preserve"> SUMIF( Time!$J337:$BQ337, Time!O$28, 'Supply Chain finance'!$J15:$BQ15)</f>
        <v>0</v>
      </c>
      <c r="P16" s="10">
        <f ca="1" xml:space="preserve"> SUMIF( Time!$J337:$BQ337, Time!P$28, 'Supply Chain finance'!$J15:$BQ15)</f>
        <v>0</v>
      </c>
      <c r="Q16" s="10">
        <f ca="1" xml:space="preserve"> SUMIF( Time!$J337:$BQ337, Time!Q$28, 'Supply Chain finance'!$J15:$BQ15)</f>
        <v>0</v>
      </c>
      <c r="R16" s="10">
        <f ca="1" xml:space="preserve"> SUMIF( Time!$J337:$BQ337, Time!R$28, 'Supply Chain finance'!$J15:$BQ15)</f>
        <v>0</v>
      </c>
      <c r="S16" s="10">
        <f ca="1" xml:space="preserve"> SUMIF( Time!$J337:$BQ337, Time!S$28, 'Supply Chain finance'!$J15:$BQ15)</f>
        <v>0</v>
      </c>
      <c r="T16" s="10">
        <f ca="1" xml:space="preserve"> SUMIF( Time!$J337:$BQ337, Time!T$28, 'Supply Chain finance'!$J15:$BQ15)</f>
        <v>0</v>
      </c>
      <c r="U16" s="10">
        <f ca="1" xml:space="preserve"> SUMIF( Time!$J337:$BQ337, Time!U$28, 'Supply Chain finance'!$J15:$BQ15)</f>
        <v>0</v>
      </c>
      <c r="V16" s="10">
        <f ca="1" xml:space="preserve"> SUMIF( Time!$J337:$BQ337, Time!V$28, 'Supply Chain finance'!$J15:$BQ15)</f>
        <v>0</v>
      </c>
      <c r="W16" s="10">
        <f ca="1" xml:space="preserve"> SUMIF( Time!$J337:$BQ337, Time!W$28, 'Supply Chain finance'!$J15:$BQ15)</f>
        <v>0</v>
      </c>
      <c r="X16" s="10">
        <f ca="1" xml:space="preserve"> SUMIF( Time!$J337:$BQ337, Time!X$28, 'Supply Chain finance'!$J15:$BQ15)</f>
        <v>0</v>
      </c>
      <c r="Y16" s="10">
        <f ca="1" xml:space="preserve"> SUMIF( Time!$J337:$BQ337, Time!Y$28, 'Supply Chain finance'!$J15:$BQ15)</f>
        <v>0</v>
      </c>
      <c r="Z16" s="10">
        <f ca="1" xml:space="preserve"> SUMIF( Time!$J337:$BQ337, Time!Z$28, 'Supply Chain finance'!$J15:$BQ15)</f>
        <v>0</v>
      </c>
      <c r="AA16" s="10">
        <f ca="1" xml:space="preserve"> SUMIF( Time!$J337:$BQ337, Time!AA$28, 'Supply Chain finance'!$J15:$BQ15)</f>
        <v>0</v>
      </c>
      <c r="AB16" s="10">
        <f ca="1" xml:space="preserve"> SUMIF( Time!$J337:$BQ337, Time!AB$28, 'Supply Chain finance'!$J15:$BQ15)</f>
        <v>0</v>
      </c>
      <c r="AC16" s="10">
        <f ca="1" xml:space="preserve"> SUMIF( Time!$J337:$BQ337, Time!AC$28,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Time!$J337:$BQ337, Time!J$28, 'Invoice finance'!$J15:$BQ15)</f>
        <v>0</v>
      </c>
      <c r="K17" s="10">
        <f ca="1" xml:space="preserve"> SUMIF( Time!$J337:$BQ337, Time!K$28, 'Invoice finance'!$J15:$BQ15)</f>
        <v>0</v>
      </c>
      <c r="L17" s="10">
        <f ca="1" xml:space="preserve"> SUMIF( Time!$J337:$BQ337, Time!L$28, 'Invoice finance'!$J15:$BQ15)</f>
        <v>0</v>
      </c>
      <c r="M17" s="10">
        <f ca="1" xml:space="preserve"> SUMIF( Time!$J337:$BQ337, Time!M$28, 'Invoice finance'!$J15:$BQ15)</f>
        <v>0</v>
      </c>
      <c r="N17" s="10">
        <f ca="1" xml:space="preserve"> SUMIF( Time!$J337:$BQ337, Time!N$28, 'Invoice finance'!$J15:$BQ15)</f>
        <v>0</v>
      </c>
      <c r="O17" s="10">
        <f ca="1" xml:space="preserve"> SUMIF( Time!$J337:$BQ337, Time!O$28, 'Invoice finance'!$J15:$BQ15)</f>
        <v>0</v>
      </c>
      <c r="P17" s="10">
        <f ca="1" xml:space="preserve"> SUMIF( Time!$J337:$BQ337, Time!P$28, 'Invoice finance'!$J15:$BQ15)</f>
        <v>0</v>
      </c>
      <c r="Q17" s="10">
        <f ca="1" xml:space="preserve"> SUMIF( Time!$J337:$BQ337, Time!Q$28, 'Invoice finance'!$J15:$BQ15)</f>
        <v>0</v>
      </c>
      <c r="R17" s="10">
        <f ca="1" xml:space="preserve"> SUMIF( Time!$J337:$BQ337, Time!R$28, 'Invoice finance'!$J15:$BQ15)</f>
        <v>0</v>
      </c>
      <c r="S17" s="10">
        <f ca="1" xml:space="preserve"> SUMIF( Time!$J337:$BQ337, Time!S$28, 'Invoice finance'!$J15:$BQ15)</f>
        <v>0</v>
      </c>
      <c r="T17" s="10">
        <f ca="1" xml:space="preserve"> SUMIF( Time!$J337:$BQ337, Time!T$28, 'Invoice finance'!$J15:$BQ15)</f>
        <v>0</v>
      </c>
      <c r="U17" s="10">
        <f ca="1" xml:space="preserve"> SUMIF( Time!$J337:$BQ337, Time!U$28, 'Invoice finance'!$J15:$BQ15)</f>
        <v>0</v>
      </c>
      <c r="V17" s="10">
        <f ca="1" xml:space="preserve"> SUMIF( Time!$J337:$BQ337, Time!V$28, 'Invoice finance'!$J15:$BQ15)</f>
        <v>0</v>
      </c>
      <c r="W17" s="10">
        <f ca="1" xml:space="preserve"> SUMIF( Time!$J337:$BQ337, Time!W$28, 'Invoice finance'!$J15:$BQ15)</f>
        <v>0</v>
      </c>
      <c r="X17" s="10">
        <f ca="1" xml:space="preserve"> SUMIF( Time!$J337:$BQ337, Time!X$28, 'Invoice finance'!$J15:$BQ15)</f>
        <v>0</v>
      </c>
      <c r="Y17" s="10">
        <f ca="1" xml:space="preserve"> SUMIF( Time!$J337:$BQ337, Time!Y$28, 'Invoice finance'!$J15:$BQ15)</f>
        <v>0</v>
      </c>
      <c r="Z17" s="10">
        <f ca="1" xml:space="preserve"> SUMIF( Time!$J337:$BQ337, Time!Z$28, 'Invoice finance'!$J15:$BQ15)</f>
        <v>0</v>
      </c>
      <c r="AA17" s="10">
        <f ca="1" xml:space="preserve"> SUMIF( Time!$J337:$BQ337, Time!AA$28, 'Invoice finance'!$J15:$BQ15)</f>
        <v>0</v>
      </c>
      <c r="AB17" s="10">
        <f ca="1" xml:space="preserve"> SUMIF( Time!$J337:$BQ337, Time!AB$28, 'Invoice finance'!$J15:$BQ15)</f>
        <v>0</v>
      </c>
      <c r="AC17" s="10">
        <f ca="1" xml:space="preserve"> SUMIF( Time!$J337:$BQ337, Time!AC$28,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Time!$J337:$BQ337, Time!J$28, 'Asset Finance'!$J15:$BQ15)</f>
        <v>0</v>
      </c>
      <c r="K18" s="10">
        <f ca="1" xml:space="preserve"> SUMIF( Time!$J337:$BQ337, Time!K$28, 'Asset Finance'!$J15:$BQ15)</f>
        <v>0</v>
      </c>
      <c r="L18" s="10">
        <f ca="1" xml:space="preserve"> SUMIF( Time!$J337:$BQ337, Time!L$28, 'Asset Finance'!$J15:$BQ15)</f>
        <v>0</v>
      </c>
      <c r="M18" s="10">
        <f ca="1" xml:space="preserve"> SUMIF( Time!$J337:$BQ337, Time!M$28, 'Asset Finance'!$J15:$BQ15)</f>
        <v>0</v>
      </c>
      <c r="N18" s="10">
        <f ca="1" xml:space="preserve"> SUMIF( Time!$J337:$BQ337, Time!N$28, 'Asset Finance'!$J15:$BQ15)</f>
        <v>0</v>
      </c>
      <c r="O18" s="10">
        <f ca="1" xml:space="preserve"> SUMIF( Time!$J337:$BQ337, Time!O$28, 'Asset Finance'!$J15:$BQ15)</f>
        <v>0</v>
      </c>
      <c r="P18" s="10">
        <f ca="1" xml:space="preserve"> SUMIF( Time!$J337:$BQ337, Time!P$28, 'Asset Finance'!$J15:$BQ15)</f>
        <v>0</v>
      </c>
      <c r="Q18" s="10">
        <f ca="1" xml:space="preserve"> SUMIF( Time!$J337:$BQ337, Time!Q$28, 'Asset Finance'!$J15:$BQ15)</f>
        <v>0</v>
      </c>
      <c r="R18" s="10">
        <f ca="1" xml:space="preserve"> SUMIF( Time!$J337:$BQ337, Time!R$28, 'Asset Finance'!$J15:$BQ15)</f>
        <v>0</v>
      </c>
      <c r="S18" s="10">
        <f ca="1" xml:space="preserve"> SUMIF( Time!$J337:$BQ337, Time!S$28, 'Asset Finance'!$J15:$BQ15)</f>
        <v>0</v>
      </c>
      <c r="T18" s="10">
        <f ca="1" xml:space="preserve"> SUMIF( Time!$J337:$BQ337, Time!T$28, 'Asset Finance'!$J15:$BQ15)</f>
        <v>0</v>
      </c>
      <c r="U18" s="10">
        <f ca="1" xml:space="preserve"> SUMIF( Time!$J337:$BQ337, Time!U$28, 'Asset Finance'!$J15:$BQ15)</f>
        <v>0</v>
      </c>
      <c r="V18" s="10">
        <f ca="1" xml:space="preserve"> SUMIF( Time!$J337:$BQ337, Time!V$28, 'Asset Finance'!$J15:$BQ15)</f>
        <v>0</v>
      </c>
      <c r="W18" s="10">
        <f ca="1" xml:space="preserve"> SUMIF( Time!$J337:$BQ337, Time!W$28, 'Asset Finance'!$J15:$BQ15)</f>
        <v>0</v>
      </c>
      <c r="X18" s="10">
        <f ca="1" xml:space="preserve"> SUMIF( Time!$J337:$BQ337, Time!X$28, 'Asset Finance'!$J15:$BQ15)</f>
        <v>0</v>
      </c>
      <c r="Y18" s="10">
        <f ca="1" xml:space="preserve"> SUMIF( Time!$J337:$BQ337, Time!Y$28, 'Asset Finance'!$J15:$BQ15)</f>
        <v>0</v>
      </c>
      <c r="Z18" s="10">
        <f ca="1" xml:space="preserve"> SUMIF( Time!$J337:$BQ337, Time!Z$28, 'Asset Finance'!$J15:$BQ15)</f>
        <v>0</v>
      </c>
      <c r="AA18" s="10">
        <f ca="1" xml:space="preserve"> SUMIF( Time!$J337:$BQ337, Time!AA$28, 'Asset Finance'!$J15:$BQ15)</f>
        <v>0</v>
      </c>
      <c r="AB18" s="10">
        <f ca="1" xml:space="preserve"> SUMIF( Time!$J337:$BQ337, Time!AB$28, 'Asset Finance'!$J15:$BQ15)</f>
        <v>0</v>
      </c>
      <c r="AC18" s="10">
        <f ca="1" xml:space="preserve"> SUMIF( Time!$J337:$BQ337, Time!AC$28, 'Asset Finance'!$J15:$BQ15)</f>
        <v>0</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Time!$J337:$BQ337, Time!J$28, VAT!$J32:$BQ32)</f>
        <v>91300</v>
      </c>
      <c r="K19" s="10">
        <f ca="1" xml:space="preserve"> SUMIF( Time!$J337:$BQ337, Time!K$28, VAT!$J32:$BQ32)</f>
        <v>68839.214314865443</v>
      </c>
      <c r="L19" s="10">
        <f ca="1" xml:space="preserve"> SUMIF( Time!$J337:$BQ337, Time!L$28, VAT!$J32:$BQ32)</f>
        <v>74376.95066992403</v>
      </c>
      <c r="M19" s="10">
        <f ca="1" xml:space="preserve"> SUMIF( Time!$J337:$BQ337, Time!M$28, VAT!$J32:$BQ32)</f>
        <v>-23686.826870344114</v>
      </c>
      <c r="N19" s="10">
        <f ca="1" xml:space="preserve"> SUMIF( Time!$J337:$BQ337, Time!N$28, VAT!$J32:$BQ32)</f>
        <v>248302.15095403907</v>
      </c>
      <c r="O19" s="10">
        <f ca="1" xml:space="preserve"> SUMIF( Time!$J337:$BQ337, Time!O$28, VAT!$J32:$BQ32)</f>
        <v>-18515.623776215827</v>
      </c>
      <c r="P19" s="10">
        <f ca="1" xml:space="preserve"> SUMIF( Time!$J337:$BQ337, Time!P$28, VAT!$J32:$BQ32)</f>
        <v>94796.809735284187</v>
      </c>
      <c r="Q19" s="10">
        <f ca="1" xml:space="preserve"> SUMIF( Time!$J337:$BQ337, Time!Q$28, VAT!$J32:$BQ32)</f>
        <v>305044.1707389825</v>
      </c>
      <c r="R19" s="10">
        <f ca="1" xml:space="preserve"> SUMIF( Time!$J337:$BQ337, Time!R$28, VAT!$J32:$BQ32)</f>
        <v>856273.53846796881</v>
      </c>
      <c r="S19" s="10">
        <f ca="1" xml:space="preserve"> SUMIF( Time!$J337:$BQ337, Time!S$28, VAT!$J32:$BQ32)</f>
        <v>626164.27815668099</v>
      </c>
      <c r="T19" s="10">
        <f ca="1" xml:space="preserve"> SUMIF( Time!$J337:$BQ337, Time!T$28, VAT!$J32:$BQ32)</f>
        <v>992290.67455697292</v>
      </c>
      <c r="U19" s="10">
        <f ca="1" xml:space="preserve"> SUMIF( Time!$J337:$BQ337, Time!U$28, VAT!$J32:$BQ32)</f>
        <v>1398848.6756747691</v>
      </c>
      <c r="V19" s="10">
        <f ca="1" xml:space="preserve"> SUMIF( Time!$J337:$BQ337, Time!V$28, VAT!$J32:$BQ32)</f>
        <v>2184302.8707854748</v>
      </c>
      <c r="W19" s="10">
        <f ca="1" xml:space="preserve"> SUMIF( Time!$J337:$BQ337, Time!W$28, VAT!$J32:$BQ32)</f>
        <v>2546068.8523739846</v>
      </c>
      <c r="X19" s="10">
        <f ca="1" xml:space="preserve"> SUMIF( Time!$J337:$BQ337, Time!X$28, VAT!$J32:$BQ32)</f>
        <v>2903452.1261376319</v>
      </c>
      <c r="Y19" s="10">
        <f ca="1" xml:space="preserve"> SUMIF( Time!$J337:$BQ337, Time!Y$28, VAT!$J32:$BQ32)</f>
        <v>3640623.6012510099</v>
      </c>
      <c r="Z19" s="10">
        <f ca="1" xml:space="preserve"> SUMIF( Time!$J337:$BQ337, Time!Z$28, VAT!$J32:$BQ32)</f>
        <v>4371600.7346764747</v>
      </c>
      <c r="AA19" s="10">
        <f ca="1" xml:space="preserve"> SUMIF( Time!$J337:$BQ337, Time!AA$28, VAT!$J32:$BQ32)</f>
        <v>5095205.4561690874</v>
      </c>
      <c r="AB19" s="10">
        <f ca="1" xml:space="preserve"> SUMIF( Time!$J337:$BQ337, Time!AB$28, VAT!$J32:$BQ32)</f>
        <v>5775046.5295526776</v>
      </c>
      <c r="AC19" s="10">
        <f ca="1" xml:space="preserve"> SUMIF( Time!$J337:$BQ337, Time!AC$28, VAT!$J32:$BQ32)</f>
        <v>7284466.817497842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Time!$J337:$BQ337, Time!J$28, 'Corporation tax'!$J78:$BQ78)</f>
        <v>0</v>
      </c>
      <c r="K20" s="10">
        <f ca="1" xml:space="preserve"> SUMIF( Time!$J337:$BQ337, Time!K$28, 'Corporation tax'!$J78:$BQ78)</f>
        <v>0</v>
      </c>
      <c r="L20" s="10">
        <f ca="1" xml:space="preserve"> SUMIF( Time!$J337:$BQ337, Time!L$28, 'Corporation tax'!$J78:$BQ78)</f>
        <v>138096.98990873661</v>
      </c>
      <c r="M20" s="10">
        <f ca="1" xml:space="preserve"> SUMIF( Time!$J337:$BQ337, Time!M$28, 'Corporation tax'!$J78:$BQ78)</f>
        <v>450976.02868667158</v>
      </c>
      <c r="N20" s="10">
        <f ca="1" xml:space="preserve"> SUMIF( Time!$J337:$BQ337, Time!N$28, 'Corporation tax'!$J78:$BQ78)</f>
        <v>1155969.6821670486</v>
      </c>
      <c r="O20" s="10">
        <f ca="1" xml:space="preserve"> SUMIF( Time!$J337:$BQ337, Time!O$28, 'Corporation tax'!$J78:$BQ78)</f>
        <v>968709.86762981722</v>
      </c>
      <c r="P20" s="10">
        <f ca="1" xml:space="preserve"> SUMIF( Time!$J337:$BQ337, Time!P$28, 'Corporation tax'!$J78:$BQ78)</f>
        <v>1906161.5823926614</v>
      </c>
      <c r="Q20" s="10">
        <f ca="1" xml:space="preserve"> SUMIF( Time!$J337:$BQ337, Time!Q$28, 'Corporation tax'!$J78:$BQ78)</f>
        <v>3015305.6722375061</v>
      </c>
      <c r="R20" s="10">
        <f ca="1" xml:space="preserve"> SUMIF( Time!$J337:$BQ337, Time!R$28, 'Corporation tax'!$J78:$BQ78)</f>
        <v>4469298.9841670301</v>
      </c>
      <c r="S20" s="10">
        <f ca="1" xml:space="preserve"> SUMIF( Time!$J337:$BQ337, Time!S$28, 'Corporation tax'!$J78:$BQ78)</f>
        <v>1754733.6314773127</v>
      </c>
      <c r="T20" s="10">
        <f ca="1" xml:space="preserve"> SUMIF( Time!$J337:$BQ337, Time!T$28, 'Corporation tax'!$J78:$BQ78)</f>
        <v>3833939.3915214296</v>
      </c>
      <c r="U20" s="10">
        <f ca="1" xml:space="preserve"> SUMIF( Time!$J337:$BQ337, Time!U$28, 'Corporation tax'!$J78:$BQ78)</f>
        <v>6311789.5763919428</v>
      </c>
      <c r="V20" s="10">
        <f ca="1" xml:space="preserve"> SUMIF( Time!$J337:$BQ337, Time!V$28, 'Corporation tax'!$J78:$BQ78)</f>
        <v>9433606.0379642248</v>
      </c>
      <c r="W20" s="10">
        <f ca="1" xml:space="preserve"> SUMIF( Time!$J337:$BQ337, Time!W$28, 'Corporation tax'!$J78:$BQ78)</f>
        <v>3957304.760690697</v>
      </c>
      <c r="X20" s="10">
        <f ca="1" xml:space="preserve"> SUMIF( Time!$J337:$BQ337, Time!X$28, 'Corporation tax'!$J78:$BQ78)</f>
        <v>8824990.4418280069</v>
      </c>
      <c r="Y20" s="10">
        <f ca="1" xml:space="preserve"> SUMIF( Time!$J337:$BQ337, Time!Y$28, 'Corporation tax'!$J78:$BQ78)</f>
        <v>14764009.528499331</v>
      </c>
      <c r="Z20" s="10">
        <f ca="1" xml:space="preserve"> SUMIF( Time!$J337:$BQ337, Time!Z$28, 'Corporation tax'!$J78:$BQ78)</f>
        <v>21980011.267040946</v>
      </c>
      <c r="AA20" s="10">
        <f ca="1" xml:space="preserve"> SUMIF( Time!$J337:$BQ337, Time!AA$28, 'Corporation tax'!$J78:$BQ78)</f>
        <v>8652914.8866719976</v>
      </c>
      <c r="AB20" s="10">
        <f ca="1" xml:space="preserve"> SUMIF( Time!$J337:$BQ337, Time!AB$28, 'Corporation tax'!$J78:$BQ78)</f>
        <v>18919138.769374978</v>
      </c>
      <c r="AC20" s="10">
        <f ca="1" xml:space="preserve"> SUMIF( Time!$J337:$BQ337, Time!AC$28, 'Corporation tax'!$J78:$BQ78)</f>
        <v>31079993.489456456</v>
      </c>
    </row>
    <row r="21" spans="5:16384">
      <c r="E21" s="12" t="s">
        <v>227</v>
      </c>
      <c r="F21" s="30"/>
      <c r="G21" s="12" t="s">
        <v>257</v>
      </c>
      <c r="H21" s="54"/>
      <c r="I21" s="30"/>
      <c r="J21" s="12">
        <f ca="1" xml:space="preserve"> SUMIF( Time!$J337:$BQ337, Time!J$28, 'Balance Sheet'!$J21:$BQ21)</f>
        <v>1176300</v>
      </c>
      <c r="K21" s="12">
        <f ca="1" xml:space="preserve"> SUMIF( Time!$J337:$BQ337, Time!K$28, 'Balance Sheet'!$J21:$BQ21)</f>
        <v>2623839.2143148654</v>
      </c>
      <c r="L21" s="12">
        <f ca="1" xml:space="preserve"> SUMIF( Time!$J337:$BQ337, Time!L$28, 'Balance Sheet'!$J21:$BQ21)</f>
        <v>5973473.94057866</v>
      </c>
      <c r="M21" s="12">
        <f ca="1" xml:space="preserve"> SUMIF( Time!$J337:$BQ337, Time!M$28, 'Balance Sheet'!$J21:$BQ21)</f>
        <v>7525289.2018163269</v>
      </c>
      <c r="N21" s="12">
        <f ca="1" xml:space="preserve"> SUMIF( Time!$J337:$BQ337, Time!N$28, 'Balance Sheet'!$J21:$BQ21)</f>
        <v>12996365.791608211</v>
      </c>
      <c r="O21" s="12">
        <f ca="1" xml:space="preserve"> SUMIF( Time!$J337:$BQ337, Time!O$28, 'Balance Sheet'!$J21:$BQ21)</f>
        <v>12862340.057248229</v>
      </c>
      <c r="P21" s="12">
        <f ca="1" xml:space="preserve"> SUMIF( Time!$J337:$BQ337, Time!P$28, 'Balance Sheet'!$J21:$BQ21)</f>
        <v>12821104.205522573</v>
      </c>
      <c r="Q21" s="12">
        <f ca="1" xml:space="preserve"> SUMIF( Time!$J337:$BQ337, Time!Q$28, 'Balance Sheet'!$J21:$BQ21)</f>
        <v>18172495.656371117</v>
      </c>
      <c r="R21" s="12">
        <f ca="1" xml:space="preserve"> SUMIF( Time!$J337:$BQ337, Time!R$28, 'Balance Sheet'!$J21:$BQ21)</f>
        <v>30702218.336029626</v>
      </c>
      <c r="S21" s="12">
        <f ca="1" xml:space="preserve"> SUMIF( Time!$J337:$BQ337, Time!S$28, 'Balance Sheet'!$J21:$BQ21)</f>
        <v>32335543.723028623</v>
      </c>
      <c r="T21" s="12">
        <f ca="1" xml:space="preserve"> SUMIF( Time!$J337:$BQ337, Time!T$28, 'Balance Sheet'!$J21:$BQ21)</f>
        <v>37356875.879473031</v>
      </c>
      <c r="U21" s="12">
        <f ca="1" xml:space="preserve"> SUMIF( Time!$J337:$BQ337, Time!U$28, 'Balance Sheet'!$J21:$BQ21)</f>
        <v>48641284.065461338</v>
      </c>
      <c r="V21" s="12">
        <f ca="1" xml:space="preserve"> SUMIF( Time!$J337:$BQ337, Time!V$28, 'Balance Sheet'!$J21:$BQ21)</f>
        <v>67726745.808716714</v>
      </c>
      <c r="W21" s="12">
        <f ca="1" xml:space="preserve"> SUMIF( Time!$J337:$BQ337, Time!W$28, 'Balance Sheet'!$J21:$BQ21)</f>
        <v>79590194.821878806</v>
      </c>
      <c r="X21" s="12">
        <f ca="1" xml:space="preserve"> SUMIF( Time!$J337:$BQ337, Time!X$28, 'Balance Sheet'!$J21:$BQ21)</f>
        <v>102936835.13582511</v>
      </c>
      <c r="Y21" s="12">
        <f ca="1" xml:space="preserve"> SUMIF( Time!$J337:$BQ337, Time!Y$28, 'Balance Sheet'!$J21:$BQ21)</f>
        <v>132146675.40435174</v>
      </c>
      <c r="Z21" s="12">
        <f ca="1" xml:space="preserve"> SUMIF( Time!$J337:$BQ337, Time!Z$28, 'Balance Sheet'!$J21:$BQ21)</f>
        <v>168082542.16564411</v>
      </c>
      <c r="AA21" s="12">
        <f ca="1" xml:space="preserve"> SUMIF( Time!$J337:$BQ337, Time!AA$28, 'Balance Sheet'!$J21:$BQ21)</f>
        <v>189878024.84064248</v>
      </c>
      <c r="AB21" s="12">
        <f ca="1" xml:space="preserve"> SUMIF( Time!$J337:$BQ337, Time!AB$28, 'Balance Sheet'!$J21:$BQ21)</f>
        <v>238717738.23100027</v>
      </c>
      <c r="AC21" s="12">
        <f ca="1" xml:space="preserve"> SUMIF( Time!$J337:$BQ337, Time!AC$28, 'Balance Sheet'!$J21:$BQ21)</f>
        <v>300484818.36869133</v>
      </c>
    </row>
    <row r="23" spans="5:16384">
      <c r="E23" s="68" t="str">
        <f xml:space="preserve"> Financials!E$24</f>
        <v>Net Assets</v>
      </c>
      <c r="F23" s="68"/>
      <c r="G23" s="68" t="str">
        <f xml:space="preserve"> Financials!G$24</f>
        <v>GBP</v>
      </c>
      <c r="H23" s="110">
        <f xml:space="preserve"> Financials!H$24</f>
        <v>0</v>
      </c>
      <c r="I23" s="68">
        <f xml:space="preserve"> Financials!I$24</f>
        <v>0</v>
      </c>
      <c r="J23" s="19">
        <f ca="1" xml:space="preserve"> SUMIF( Time!$J337:$BQ337, Time!J$28, Financials!$J24:$BQ24)</f>
        <v>-131000</v>
      </c>
      <c r="K23" s="19">
        <f ca="1" xml:space="preserve"> SUMIF( Time!$J337:$BQ337, Time!K$28, Financials!$J24:$BQ24)</f>
        <v>-89115.237220703159</v>
      </c>
      <c r="L23" s="19">
        <f ca="1" xml:space="preserve"> SUMIF( Time!$J337:$BQ337, Time!L$28, Financials!$J24:$BQ24)</f>
        <v>441637.95963494666</v>
      </c>
      <c r="M23" s="19">
        <f ca="1" xml:space="preserve"> SUMIF( Time!$J337:$BQ337, Time!M$28, Financials!$J24:$BQ24)</f>
        <v>1569195.781413353</v>
      </c>
      <c r="N23" s="19">
        <f ca="1" xml:space="preserve"> SUMIF( Time!$J337:$BQ337, Time!N$28, Financials!$J24:$BQ24)</f>
        <v>4185003.7286681943</v>
      </c>
      <c r="O23" s="19">
        <f ca="1" xml:space="preserve"> SUMIF( Time!$J337:$BQ337, Time!O$28, Financials!$J24:$BQ24)</f>
        <v>7848384.8658541273</v>
      </c>
      <c r="P23" s="19">
        <f ca="1" xml:space="preserve"> SUMIF( Time!$J337:$BQ337, Time!P$28, Financials!$J24:$BQ24)</f>
        <v>11379441.724905508</v>
      </c>
      <c r="Q23" s="19">
        <f ca="1" xml:space="preserve"> SUMIF( Time!$J337:$BQ337, Time!Q$28, Financials!$J24:$BQ24)</f>
        <v>15546226.417618215</v>
      </c>
      <c r="R23" s="19">
        <f ca="1" xml:space="preserve"> SUMIF( Time!$J337:$BQ337, Time!R$28, Financials!$J24:$BQ24)</f>
        <v>21009282.998669654</v>
      </c>
      <c r="S23" s="19">
        <f ca="1" xml:space="preserve"> SUMIF( Time!$J337:$BQ337, Time!S$28, Financials!$J24:$BQ24)</f>
        <v>27596550.857912235</v>
      </c>
      <c r="T23" s="19">
        <f ca="1" xml:space="preserve"> SUMIF( Time!$J337:$BQ337, Time!T$28, Financials!$J24:$BQ24)</f>
        <v>35389832.231422037</v>
      </c>
      <c r="U23" s="19">
        <f ca="1" xml:space="preserve"> SUMIF( Time!$J337:$BQ337, Time!U$28, Financials!$J24:$BQ24)</f>
        <v>44665399.637570754</v>
      </c>
      <c r="V23" s="19">
        <f ca="1" xml:space="preserve"> SUMIF( Time!$J337:$BQ337, Time!V$28, Financials!$J24:$BQ24)</f>
        <v>56358175.60642153</v>
      </c>
      <c r="W23" s="19">
        <f ca="1" xml:space="preserve"> SUMIF( Time!$J337:$BQ337, Time!W$28, Financials!$J24:$BQ24)</f>
        <v>71201328.556568488</v>
      </c>
      <c r="X23" s="19">
        <f ca="1" xml:space="preserve"> SUMIF( Time!$J337:$BQ337, Time!X$28, Financials!$J24:$BQ24)</f>
        <v>89465477.893249348</v>
      </c>
      <c r="Y23" s="19">
        <f ca="1" xml:space="preserve"> SUMIF( Time!$J337:$BQ337, Time!Y$28, Financials!$J24:$BQ24)</f>
        <v>111753699.20434937</v>
      </c>
      <c r="Z23" s="19">
        <f ca="1" xml:space="preserve"> SUMIF( Time!$J337:$BQ337, Time!Z$28, Financials!$J24:$BQ24)</f>
        <v>138840539.14181334</v>
      </c>
      <c r="AA23" s="19">
        <f ca="1" xml:space="preserve"> SUMIF( Time!$J337:$BQ337, Time!AA$28, Financials!$J24:$BQ24)</f>
        <v>171313608.40811053</v>
      </c>
      <c r="AB23" s="19">
        <f ca="1" xml:space="preserve"> SUMIF( Time!$J337:$BQ337, Time!AB$28, Financials!$J24:$BQ24)</f>
        <v>209841588.2346932</v>
      </c>
      <c r="AC23" s="19">
        <f ca="1" xml:space="preserve"> SUMIF( Time!$J337:$BQ337, Time!AC$28, Financials!$J24:$BQ24)</f>
        <v>255482005.61535609</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Time!$J337:$BQ337, Time!J$28, Financials!$J38:$BQ38)</f>
        <v>-131000.00000000001</v>
      </c>
      <c r="K25" s="10">
        <f ca="1" xml:space="preserve"> SUMIF( Time!$J337:$BQ337, Time!K$28, Financials!$J38:$BQ38)</f>
        <v>-89115.237220703246</v>
      </c>
      <c r="L25" s="10">
        <f ca="1" xml:space="preserve"> SUMIF( Time!$J337:$BQ337, Time!L$28, Financials!$J38:$BQ38)</f>
        <v>441637.95963494637</v>
      </c>
      <c r="M25" s="10">
        <f ca="1" xml:space="preserve"> SUMIF( Time!$J337:$BQ337, Time!M$28, Financials!$J38:$BQ38)</f>
        <v>1569195.781413353</v>
      </c>
      <c r="N25" s="10">
        <f ca="1" xml:space="preserve"> SUMIF( Time!$J337:$BQ337, Time!N$28, Financials!$J38:$BQ38)</f>
        <v>4185003.7286681943</v>
      </c>
      <c r="O25" s="10">
        <f ca="1" xml:space="preserve"> SUMIF( Time!$J337:$BQ337, Time!O$28, Financials!$J38:$BQ38)</f>
        <v>7848384.8658541311</v>
      </c>
      <c r="P25" s="10">
        <f ca="1" xml:space="preserve"> SUMIF( Time!$J337:$BQ337, Time!P$28, Financials!$J38:$BQ38)</f>
        <v>11379441.724905508</v>
      </c>
      <c r="Q25" s="10">
        <f ca="1" xml:space="preserve"> SUMIF( Time!$J337:$BQ337, Time!Q$28, Financials!$J38:$BQ38)</f>
        <v>15546226.417618219</v>
      </c>
      <c r="R25" s="10">
        <f ca="1" xml:space="preserve"> SUMIF( Time!$J337:$BQ337, Time!R$28, Financials!$J38:$BQ38)</f>
        <v>21009282.998669647</v>
      </c>
      <c r="S25" s="10">
        <f ca="1" xml:space="preserve"> SUMIF( Time!$J337:$BQ337, Time!S$28, Financials!$J38:$BQ38)</f>
        <v>27596550.857912228</v>
      </c>
      <c r="T25" s="10">
        <f ca="1" xml:space="preserve"> SUMIF( Time!$J337:$BQ337, Time!T$28, Financials!$J38:$BQ38)</f>
        <v>35389832.231422022</v>
      </c>
      <c r="U25" s="10">
        <f ca="1" xml:space="preserve"> SUMIF( Time!$J337:$BQ337, Time!U$28, Financials!$J38:$BQ38)</f>
        <v>44665399.637570739</v>
      </c>
      <c r="V25" s="10">
        <f ca="1" xml:space="preserve"> SUMIF( Time!$J337:$BQ337, Time!V$28, Financials!$J38:$BQ38)</f>
        <v>56358175.606421523</v>
      </c>
      <c r="W25" s="10">
        <f ca="1" xml:space="preserve"> SUMIF( Time!$J337:$BQ337, Time!W$28, Financials!$J38:$BQ38)</f>
        <v>71201328.556568488</v>
      </c>
      <c r="X25" s="10">
        <f ca="1" xml:space="preserve"> SUMIF( Time!$J337:$BQ337, Time!X$28, Financials!$J38:$BQ38)</f>
        <v>89465477.893249333</v>
      </c>
      <c r="Y25" s="10">
        <f ca="1" xml:space="preserve"> SUMIF( Time!$J337:$BQ337, Time!Y$28, Financials!$J38:$BQ38)</f>
        <v>111753699.20434938</v>
      </c>
      <c r="Z25" s="10">
        <f ca="1" xml:space="preserve"> SUMIF( Time!$J337:$BQ337, Time!Z$28, Financials!$J38:$BQ38)</f>
        <v>138840539.14181334</v>
      </c>
      <c r="AA25" s="10">
        <f ca="1" xml:space="preserve"> SUMIF( Time!$J337:$BQ337, Time!AA$28, Financials!$J38:$BQ38)</f>
        <v>171313608.40811056</v>
      </c>
      <c r="AB25" s="10">
        <f ca="1" xml:space="preserve"> SUMIF( Time!$J337:$BQ337, Time!AB$28, Financials!$J38:$BQ38)</f>
        <v>209841588.23469326</v>
      </c>
      <c r="AC25" s="10">
        <f ca="1" xml:space="preserve"> SUMIF( Time!$J337:$BQ337, Time!AC$28, Financials!$J38:$BQ38)</f>
        <v>255482005.61535621</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Time!$J337:$BQ337, Time!J$28, Equity!$J13:$BQ13)</f>
        <v>0</v>
      </c>
      <c r="K26" s="10">
        <f xml:space="preserve"> SUMIF( Time!$J337:$BQ337, Time!K$28, Equity!$J13:$BQ13)</f>
        <v>0</v>
      </c>
      <c r="L26" s="10">
        <f xml:space="preserve"> SUMIF( Time!$J337:$BQ337, Time!L$28, Equity!$J13:$BQ13)</f>
        <v>0</v>
      </c>
      <c r="M26" s="10">
        <f xml:space="preserve"> SUMIF( Time!$J337:$BQ337, Time!M$28, Equity!$J13:$BQ13)</f>
        <v>0</v>
      </c>
      <c r="N26" s="10">
        <f xml:space="preserve"> SUMIF( Time!$J337:$BQ337, Time!N$28, Equity!$J13:$BQ13)</f>
        <v>0</v>
      </c>
      <c r="O26" s="10">
        <f xml:space="preserve"> SUMIF( Time!$J337:$BQ337, Time!O$28, Equity!$J13:$BQ13)</f>
        <v>0</v>
      </c>
      <c r="P26" s="10">
        <f xml:space="preserve"> SUMIF( Time!$J337:$BQ337, Time!P$28, Equity!$J13:$BQ13)</f>
        <v>0</v>
      </c>
      <c r="Q26" s="10">
        <f xml:space="preserve"> SUMIF( Time!$J337:$BQ337, Time!Q$28, Equity!$J13:$BQ13)</f>
        <v>0</v>
      </c>
      <c r="R26" s="10">
        <f xml:space="preserve"> SUMIF( Time!$J337:$BQ337, Time!R$28, Equity!$J13:$BQ13)</f>
        <v>0</v>
      </c>
      <c r="S26" s="10">
        <f xml:space="preserve"> SUMIF( Time!$J337:$BQ337, Time!S$28, Equity!$J13:$BQ13)</f>
        <v>0</v>
      </c>
      <c r="T26" s="10">
        <f xml:space="preserve"> SUMIF( Time!$J337:$BQ337, Time!T$28, Equity!$J13:$BQ13)</f>
        <v>0</v>
      </c>
      <c r="U26" s="10">
        <f xml:space="preserve"> SUMIF( Time!$J337:$BQ337, Time!U$28, Equity!$J13:$BQ13)</f>
        <v>0</v>
      </c>
      <c r="V26" s="10">
        <f xml:space="preserve"> SUMIF( Time!$J337:$BQ337, Time!V$28, Equity!$J13:$BQ13)</f>
        <v>0</v>
      </c>
      <c r="W26" s="10">
        <f xml:space="preserve"> SUMIF( Time!$J337:$BQ337, Time!W$28, Equity!$J13:$BQ13)</f>
        <v>0</v>
      </c>
      <c r="X26" s="10">
        <f xml:space="preserve"> SUMIF( Time!$J337:$BQ337, Time!X$28, Equity!$J13:$BQ13)</f>
        <v>0</v>
      </c>
      <c r="Y26" s="10">
        <f xml:space="preserve"> SUMIF( Time!$J337:$BQ337, Time!Y$28, Equity!$J13:$BQ13)</f>
        <v>0</v>
      </c>
      <c r="Z26" s="10">
        <f xml:space="preserve"> SUMIF( Time!$J337:$BQ337, Time!Z$28, Equity!$J13:$BQ13)</f>
        <v>0</v>
      </c>
      <c r="AA26" s="10">
        <f xml:space="preserve"> SUMIF( Time!$J337:$BQ337, Time!AA$28, Equity!$J13:$BQ13)</f>
        <v>0</v>
      </c>
      <c r="AB26" s="10">
        <f xml:space="preserve"> SUMIF( Time!$J337:$BQ337, Time!AB$28, Equity!$J13:$BQ13)</f>
        <v>0</v>
      </c>
      <c r="AC26" s="10">
        <f xml:space="preserve"> SUMIF( Time!$J337:$BQ337, Time!AC$28, Equity!$J13:$BQ13)</f>
        <v>0</v>
      </c>
    </row>
    <row r="27" spans="5:16384">
      <c r="E27" s="68" t="str">
        <f xml:space="preserve"> Financials!E$30</f>
        <v>Shareholder Equity</v>
      </c>
      <c r="F27" s="68"/>
      <c r="G27" s="68" t="str">
        <f xml:space="preserve"> Financials!G$30</f>
        <v>GBP</v>
      </c>
      <c r="H27" s="110">
        <f xml:space="preserve"> Financials!H$30</f>
        <v>0</v>
      </c>
      <c r="I27" s="68">
        <f xml:space="preserve"> Financials!I$30</f>
        <v>0</v>
      </c>
      <c r="J27" s="19">
        <f ca="1" xml:space="preserve"> SUMIF( Time!$J337:$BQ337, Time!J$28, Financials!$J30:$BQ30)</f>
        <v>-131000.00000000001</v>
      </c>
      <c r="K27" s="19">
        <f ca="1" xml:space="preserve"> SUMIF( Time!$J337:$BQ337, Time!K$28, Financials!$J30:$BQ30)</f>
        <v>-89115.237220703246</v>
      </c>
      <c r="L27" s="19">
        <f ca="1" xml:space="preserve"> SUMIF( Time!$J337:$BQ337, Time!L$28, Financials!$J30:$BQ30)</f>
        <v>441637.95963494637</v>
      </c>
      <c r="M27" s="19">
        <f ca="1" xml:space="preserve"> SUMIF( Time!$J337:$BQ337, Time!M$28, Financials!$J30:$BQ30)</f>
        <v>1569195.781413353</v>
      </c>
      <c r="N27" s="19">
        <f ca="1" xml:space="preserve"> SUMIF( Time!$J337:$BQ337, Time!N$28, Financials!$J30:$BQ30)</f>
        <v>4185003.7286681943</v>
      </c>
      <c r="O27" s="19">
        <f ca="1" xml:space="preserve"> SUMIF( Time!$J337:$BQ337, Time!O$28, Financials!$J30:$BQ30)</f>
        <v>7848384.8658541311</v>
      </c>
      <c r="P27" s="19">
        <f ca="1" xml:space="preserve"> SUMIF( Time!$J337:$BQ337, Time!P$28, Financials!$J30:$BQ30)</f>
        <v>11379441.724905508</v>
      </c>
      <c r="Q27" s="19">
        <f ca="1" xml:space="preserve"> SUMIF( Time!$J337:$BQ337, Time!Q$28, Financials!$J30:$BQ30)</f>
        <v>15546226.417618219</v>
      </c>
      <c r="R27" s="19">
        <f ca="1" xml:space="preserve"> SUMIF( Time!$J337:$BQ337, Time!R$28, Financials!$J30:$BQ30)</f>
        <v>21009282.998669647</v>
      </c>
      <c r="S27" s="19">
        <f ca="1" xml:space="preserve"> SUMIF( Time!$J337:$BQ337, Time!S$28, Financials!$J30:$BQ30)</f>
        <v>27596550.857912228</v>
      </c>
      <c r="T27" s="19">
        <f ca="1" xml:space="preserve"> SUMIF( Time!$J337:$BQ337, Time!T$28, Financials!$J30:$BQ30)</f>
        <v>35389832.231422022</v>
      </c>
      <c r="U27" s="19">
        <f ca="1" xml:space="preserve"> SUMIF( Time!$J337:$BQ337, Time!U$28, Financials!$J30:$BQ30)</f>
        <v>44665399.637570739</v>
      </c>
      <c r="V27" s="19">
        <f ca="1" xml:space="preserve"> SUMIF( Time!$J337:$BQ337, Time!V$28, Financials!$J30:$BQ30)</f>
        <v>56358175.606421523</v>
      </c>
      <c r="W27" s="19">
        <f ca="1" xml:space="preserve"> SUMIF( Time!$J337:$BQ337, Time!W$28, Financials!$J30:$BQ30)</f>
        <v>71201328.556568488</v>
      </c>
      <c r="X27" s="19">
        <f ca="1" xml:space="preserve"> SUMIF( Time!$J337:$BQ337, Time!X$28, Financials!$J30:$BQ30)</f>
        <v>89465477.893249333</v>
      </c>
      <c r="Y27" s="19">
        <f ca="1" xml:space="preserve"> SUMIF( Time!$J337:$BQ337, Time!Y$28, Financials!$J30:$BQ30)</f>
        <v>111753699.20434938</v>
      </c>
      <c r="Z27" s="19">
        <f ca="1" xml:space="preserve"> SUMIF( Time!$J337:$BQ337, Time!Z$28, Financials!$J30:$BQ30)</f>
        <v>138840539.14181334</v>
      </c>
      <c r="AA27" s="19">
        <f ca="1" xml:space="preserve"> SUMIF( Time!$J337:$BQ337, Time!AA$28, Financials!$J30:$BQ30)</f>
        <v>171313608.40811056</v>
      </c>
      <c r="AB27" s="19">
        <f ca="1" xml:space="preserve"> SUMIF( Time!$J337:$BQ337, Time!AB$28, Financials!$J30:$BQ30)</f>
        <v>209841588.23469326</v>
      </c>
      <c r="AC27" s="19">
        <f ca="1" xml:space="preserve"> SUMIF( Time!$J337:$BQ337, Time!AC$28, Financials!$J30:$BQ30)</f>
        <v>255482005.61535621</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84" priority="1" stopIfTrue="1" operator="notEqual">
      <formula>0</formula>
    </cfRule>
    <cfRule type="cellIs" dxfId="83" priority="2" stopIfTrue="1" operator="equal">
      <formula>""</formula>
    </cfRule>
  </conditionalFormatting>
  <conditionalFormatting sqref="J3:AC3">
    <cfRule type="cellIs" dxfId="82" priority="3" operator="equal">
      <formula>"PPA ext."</formula>
    </cfRule>
    <cfRule type="cellIs" dxfId="81" priority="4" operator="equal">
      <formula>"Delay"</formula>
    </cfRule>
    <cfRule type="cellIs" dxfId="80" priority="5" operator="equal">
      <formula>"Fin Close"</formula>
    </cfRule>
    <cfRule type="cellIs" dxfId="79" priority="6" stopIfTrue="1" operator="equal">
      <formula>"Construction"</formula>
    </cfRule>
    <cfRule type="cellIs" dxfId="7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9" customWidth="1"/>
    <col min="4" max="4" width="1.44140625" style="79"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1" width="11.77734375" bestFit="1" customWidth="1"/>
    <col min="12" max="15" width="13.21875" bestFit="1" customWidth="1"/>
    <col min="16" max="19" width="14.44140625" bestFit="1" customWidth="1"/>
  </cols>
  <sheetData>
    <row r="1" spans="1:19" s="72" customFormat="1" ht="25">
      <c r="A1" s="46" t="str">
        <f ca="1" xml:space="preserve"> RIGHT(CELL("filename", A1), LEN(CELL("filename", A1)) - SEARCH("]", CELL("filename", A1)))</f>
        <v>Balance Sheet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Assets!E$24</f>
        <v>Inventory</v>
      </c>
      <c r="F8" s="17">
        <f xml:space="preserve"> Assets!F$24</f>
        <v>0</v>
      </c>
      <c r="G8" s="17" t="str">
        <f xml:space="preserve"> Assets!G$24</f>
        <v>GBP</v>
      </c>
      <c r="H8" s="44">
        <f xml:space="preserve"> Assets!H$24</f>
        <v>0</v>
      </c>
      <c r="I8" s="17">
        <f xml:space="preserve"> Assets!I$24</f>
        <v>0</v>
      </c>
      <c r="J8" s="10">
        <f ca="1" xml:space="preserve"> SUMIF( Time!$J352:$BQ352, Time!J$28, Assets!$J24:$BQ24)</f>
        <v>1050000</v>
      </c>
      <c r="K8" s="10">
        <f ca="1" xml:space="preserve"> SUMIF( Time!$J352:$BQ352, Time!K$28, Assets!$J24:$BQ24)</f>
        <v>1750000</v>
      </c>
      <c r="L8" s="10">
        <f ca="1" xml:space="preserve"> SUMIF( Time!$J352:$BQ352, Time!L$28, Assets!$J24:$BQ24)</f>
        <v>2625000</v>
      </c>
      <c r="M8" s="10">
        <f ca="1" xml:space="preserve"> SUMIF( Time!$J352:$BQ352, Time!M$28, Assets!$J24:$BQ24)</f>
        <v>4375000</v>
      </c>
      <c r="N8" s="10">
        <f ca="1" xml:space="preserve"> SUMIF( Time!$J352:$BQ352, Time!N$28, Assets!$J24:$BQ24)</f>
        <v>7000000</v>
      </c>
      <c r="O8" s="10">
        <f ca="1" xml:space="preserve"> SUMIF( Time!$J352:$BQ352, Time!O$28, Assets!$J24:$BQ24)</f>
        <v>10570000</v>
      </c>
      <c r="P8" s="10">
        <f ca="1" xml:space="preserve"> SUMIF( Time!$J352:$BQ352, Time!P$28, Assets!$J24:$BQ24)</f>
        <v>15578481.323280858</v>
      </c>
      <c r="Q8" s="10">
        <f ca="1" xml:space="preserve"> SUMIF( Time!$J352:$BQ352, Time!Q$28, Assets!$J24:$BQ24)</f>
        <v>22676998.094606489</v>
      </c>
      <c r="R8" s="10">
        <f ca="1" xml:space="preserve"> SUMIF( Time!$J352:$BQ352, Time!R$28, Assets!$J24:$BQ24)</f>
        <v>32378960.741168205</v>
      </c>
      <c r="S8" s="10">
        <f ca="1" xml:space="preserve"> SUMIF( Time!$J352:$BQ352, Time!S$28, Assets!$J24:$BQ24)</f>
        <v>45868994.283819467</v>
      </c>
    </row>
    <row r="9" spans="1:19">
      <c r="E9" s="17" t="str">
        <f xml:space="preserve"> Assets!E$34</f>
        <v xml:space="preserve">Depreciation </v>
      </c>
      <c r="F9" s="17">
        <f xml:space="preserve"> Assets!F$34</f>
        <v>0</v>
      </c>
      <c r="G9" s="17" t="str">
        <f xml:space="preserve"> Assets!G$34</f>
        <v>GBP</v>
      </c>
      <c r="H9" s="44">
        <f xml:space="preserve"> Assets!H$34</f>
        <v>0</v>
      </c>
      <c r="I9" s="17">
        <f xml:space="preserve"> Assets!I$34</f>
        <v>0</v>
      </c>
      <c r="J9" s="10">
        <f ca="1" xml:space="preserve"> SUMIF( Time!$J352:$BQ352, Time!J$28, Assets!$J34:$BQ34)</f>
        <v>-7291.6666666666661</v>
      </c>
      <c r="K9" s="10">
        <f ca="1" xml:space="preserve"> SUMIF( Time!$J352:$BQ352, Time!K$28, Assets!$J34:$BQ34)</f>
        <v>-167708.33333333331</v>
      </c>
      <c r="L9" s="10">
        <f ca="1" xml:space="preserve"> SUMIF( Time!$J352:$BQ352, Time!L$28, Assets!$J34:$BQ34)</f>
        <v>-583333.33333333337</v>
      </c>
      <c r="M9" s="10">
        <f ca="1" xml:space="preserve"> SUMIF( Time!$J352:$BQ352, Time!M$28, Assets!$J34:$BQ34)</f>
        <v>-1071875</v>
      </c>
      <c r="N9" s="10">
        <f ca="1" xml:space="preserve"> SUMIF( Time!$J352:$BQ352, Time!N$28, Assets!$J34:$BQ34)</f>
        <v>-1506458.3333333333</v>
      </c>
      <c r="O9" s="10">
        <f ca="1" xml:space="preserve"> SUMIF( Time!$J352:$BQ352, Time!O$28, Assets!$J34:$BQ34)</f>
        <v>-1685833.3333333333</v>
      </c>
      <c r="P9" s="10">
        <f ca="1" xml:space="preserve"> SUMIF( Time!$J352:$BQ352, Time!P$28, Assets!$J34:$BQ34)</f>
        <v>-2174870.6266683424</v>
      </c>
      <c r="Q9" s="10">
        <f ca="1" xml:space="preserve"> SUMIF( Time!$J352:$BQ352, Time!Q$28, Assets!$J34:$BQ34)</f>
        <v>-3022835.8214476039</v>
      </c>
      <c r="R9" s="10">
        <f ca="1" xml:space="preserve"> SUMIF( Time!$J352:$BQ352, Time!R$28, Assets!$J34:$BQ34)</f>
        <v>-4040555.7651025774</v>
      </c>
      <c r="S9" s="10">
        <f ca="1" xml:space="preserve"> SUMIF( Time!$J352:$BQ352, Time!S$28, Assets!$J34:$BQ34)</f>
        <v>-5045506.5116460565</v>
      </c>
    </row>
    <row r="10" spans="1:1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Time!$J352:$BQ352, Time!J$28, 'Working Capital'!$J45:$BQ45)</f>
        <v>1008000</v>
      </c>
      <c r="K10" s="10">
        <f ca="1" xml:space="preserve"> SUMIF( Time!$J352:$BQ352, Time!K$28, 'Working Capital'!$J45:$BQ45)</f>
        <v>5040000</v>
      </c>
      <c r="L10" s="10">
        <f ca="1" xml:space="preserve"> SUMIF( Time!$J352:$BQ352, Time!L$28, 'Working Capital'!$J45:$BQ45)</f>
        <v>1080746.710668101</v>
      </c>
      <c r="M10" s="10">
        <f ca="1" xml:space="preserve"> SUMIF( Time!$J352:$BQ352, Time!M$28, 'Working Capital'!$J45:$BQ45)</f>
        <v>10080000</v>
      </c>
      <c r="N10" s="10">
        <f ca="1" xml:space="preserve"> SUMIF( Time!$J352:$BQ352, Time!N$28, 'Working Capital'!$J45:$BQ45)</f>
        <v>10152746.710668102</v>
      </c>
      <c r="O10" s="10">
        <f ca="1" xml:space="preserve"> SUMIF( Time!$J352:$BQ352, Time!O$28, 'Working Capital'!$J45:$BQ45)</f>
        <v>20160000</v>
      </c>
      <c r="P10" s="10">
        <f ca="1" xml:space="preserve"> SUMIF( Time!$J352:$BQ352, Time!P$28, 'Working Capital'!$J45:$BQ45)</f>
        <v>32760000</v>
      </c>
      <c r="Q10" s="10">
        <f ca="1" xml:space="preserve"> SUMIF( Time!$J352:$BQ352, Time!Q$28, 'Working Capital'!$J45:$BQ45)</f>
        <v>47880000</v>
      </c>
      <c r="R10" s="10">
        <f ca="1" xml:space="preserve"> SUMIF( Time!$J352:$BQ352, Time!R$28, 'Working Capital'!$J45:$BQ45)</f>
        <v>68040000</v>
      </c>
      <c r="S10" s="10">
        <f ca="1" xml:space="preserve"> SUMIF( Time!$J352:$BQ352, Time!S$28, 'Working Capital'!$J45:$BQ45)</f>
        <v>95760000</v>
      </c>
    </row>
    <row r="11" spans="1:1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Time!$J352:$BQ352, Time!J$28, Financials!$J13:$BQ13)</f>
        <v>484015.64376082883</v>
      </c>
      <c r="K11" s="10">
        <f ca="1" xml:space="preserve"> SUMIF( Time!$J352:$BQ352, Time!K$28, Financials!$J13:$BQ13)</f>
        <v>2472193.3165630135</v>
      </c>
      <c r="L11" s="10">
        <f ca="1" xml:space="preserve"> SUMIF( Time!$J352:$BQ352, Time!L$28, Financials!$J13:$BQ13)</f>
        <v>17588311.54576759</v>
      </c>
      <c r="M11" s="10">
        <f ca="1" xml:space="preserve"> SUMIF( Time!$J352:$BQ352, Time!M$28, Financials!$J13:$BQ13)</f>
        <v>20335597.073989335</v>
      </c>
      <c r="N11" s="10">
        <f ca="1" xml:space="preserve"> SUMIF( Time!$J352:$BQ352, Time!N$28, Financials!$J13:$BQ13)</f>
        <v>44285806.203606084</v>
      </c>
      <c r="O11" s="10">
        <f ca="1" xml:space="preserve"> SUMIF( Time!$J352:$BQ352, Time!O$28, Financials!$J13:$BQ13)</f>
        <v>64262517.036365427</v>
      </c>
      <c r="P11" s="10">
        <f ca="1" xml:space="preserve"> SUMIF( Time!$J352:$BQ352, Time!P$28, Financials!$J13:$BQ13)</f>
        <v>104627912.68183477</v>
      </c>
      <c r="Q11" s="10">
        <f ca="1" xml:space="preserve"> SUMIF( Time!$J352:$BQ352, Time!Q$28, Financials!$J13:$BQ13)</f>
        <v>176366212.33554223</v>
      </c>
      <c r="R11" s="10">
        <f ca="1" xml:space="preserve"> SUMIF( Time!$J352:$BQ352, Time!R$28, Financials!$J13:$BQ13)</f>
        <v>264813228.27268738</v>
      </c>
      <c r="S11" s="10">
        <f ca="1" xml:space="preserve"> SUMIF( Time!$J352:$BQ352, Time!S$28, Financials!$J13:$BQ13)</f>
        <v>419383336.21187401</v>
      </c>
    </row>
    <row r="12" spans="1:19">
      <c r="E12" s="12" t="s">
        <v>86</v>
      </c>
      <c r="F12" s="30"/>
      <c r="G12" s="12" t="s">
        <v>257</v>
      </c>
      <c r="H12" s="54"/>
      <c r="I12" s="30"/>
      <c r="J12" s="12">
        <f ca="1" xml:space="preserve"> SUMIF( Time!$J352:$BQ352, Time!J$28, 'Balance Sheet'!$J12:$BQ12)</f>
        <v>2534723.9770941623</v>
      </c>
      <c r="K12" s="12">
        <f ca="1" xml:space="preserve"> SUMIF( Time!$J352:$BQ352, Time!K$28, 'Balance Sheet'!$J12:$BQ12)</f>
        <v>9094484.98322968</v>
      </c>
      <c r="L12" s="12">
        <f ca="1" xml:space="preserve"> SUMIF( Time!$J352:$BQ352, Time!L$28, 'Balance Sheet'!$J12:$BQ12)</f>
        <v>20710724.923102356</v>
      </c>
      <c r="M12" s="12">
        <f ca="1" xml:space="preserve"> SUMIF( Time!$J352:$BQ352, Time!M$28, 'Balance Sheet'!$J12:$BQ12)</f>
        <v>33718722.073989332</v>
      </c>
      <c r="N12" s="12">
        <f ca="1" xml:space="preserve"> SUMIF( Time!$J352:$BQ352, Time!N$28, 'Balance Sheet'!$J12:$BQ12)</f>
        <v>59932094.580940858</v>
      </c>
      <c r="O12" s="12">
        <f ca="1" xml:space="preserve"> SUMIF( Time!$J352:$BQ352, Time!O$28, 'Balance Sheet'!$J12:$BQ12)</f>
        <v>93306683.703032091</v>
      </c>
      <c r="P12" s="12">
        <f ca="1" xml:space="preserve"> SUMIF( Time!$J352:$BQ352, Time!P$28, 'Balance Sheet'!$J12:$BQ12)</f>
        <v>150791523.37844729</v>
      </c>
      <c r="Q12" s="12">
        <f ca="1" xml:space="preserve"> SUMIF( Time!$J352:$BQ352, Time!Q$28, 'Balance Sheet'!$J12:$BQ12)</f>
        <v>243900374.60870111</v>
      </c>
      <c r="R12" s="12">
        <f ca="1" xml:space="preserve"> SUMIF( Time!$J352:$BQ352, Time!R$28, 'Balance Sheet'!$J12:$BQ12)</f>
        <v>361191633.24875301</v>
      </c>
      <c r="S12" s="12">
        <f ca="1" xml:space="preserve"> SUMIF( Time!$J352:$BQ352, Time!S$28, 'Balance Sheet'!$J12:$BQ12)</f>
        <v>555966823.98404741</v>
      </c>
    </row>
    <row r="14" spans="1:1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Time!$J352:$BQ352, Time!J$28, Income!$J27:$BQ27)</f>
        <v>1610000</v>
      </c>
      <c r="K14" s="10">
        <f ca="1" xml:space="preserve"> SUMIF( Time!$J352:$BQ352, Time!K$28, Income!$J27:$BQ27)</f>
        <v>6405000</v>
      </c>
      <c r="L14" s="10">
        <f ca="1" xml:space="preserve"> SUMIF( Time!$J352:$BQ352, Time!L$28, Income!$J27:$BQ27)</f>
        <v>11019645.813394628</v>
      </c>
      <c r="M14" s="10">
        <f ca="1" xml:space="preserve"> SUMIF( Time!$J352:$BQ352, Time!M$28, Income!$J27:$BQ27)</f>
        <v>13119645.813394628</v>
      </c>
      <c r="N14" s="10">
        <f ca="1" xml:space="preserve"> SUMIF( Time!$J352:$BQ352, Time!N$28, Income!$J27:$BQ27)</f>
        <v>27014645.813394628</v>
      </c>
      <c r="O14" s="10">
        <f ca="1" xml:space="preserve"> SUMIF( Time!$J352:$BQ352, Time!O$28, Income!$J27:$BQ27)</f>
        <v>36394645.813394628</v>
      </c>
      <c r="P14" s="10">
        <f ca="1" xml:space="preserve"> SUMIF( Time!$J352:$BQ352, Time!P$28, Income!$J27:$BQ27)</f>
        <v>66702821.208814114</v>
      </c>
      <c r="Q14" s="10">
        <f ca="1" xml:space="preserve"> SUMIF( Time!$J352:$BQ352, Time!Q$28, Income!$J27:$BQ27)</f>
        <v>104617542.2746014</v>
      </c>
      <c r="R14" s="10">
        <f ca="1" xml:space="preserve"> SUMIF( Time!$J352:$BQ352, Time!R$28, Income!$J27:$BQ27)</f>
        <v>163162404.49780139</v>
      </c>
      <c r="S14" s="10">
        <f ca="1" xml:space="preserve"> SUMIF( Time!$J352:$BQ352, Time!S$28, Income!$J27:$BQ27)</f>
        <v>243514358.06173703</v>
      </c>
    </row>
    <row r="15" spans="1:1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Time!$J352:$BQ352, Time!J$28, 'Working Capital'!$J36:$BQ36)</f>
        <v>944999.99999999988</v>
      </c>
      <c r="K15" s="10">
        <f ca="1" xml:space="preserve"> SUMIF( Time!$J352:$BQ352, Time!K$28, 'Working Capital'!$J36:$BQ36)</f>
        <v>692999.99999999977</v>
      </c>
      <c r="L15" s="10">
        <f ca="1" xml:space="preserve"> SUMIF( Time!$J352:$BQ352, Time!L$28, 'Working Capital'!$J36:$BQ36)</f>
        <v>892500</v>
      </c>
      <c r="M15" s="10">
        <f ca="1" xml:space="preserve"> SUMIF( Time!$J352:$BQ352, Time!M$28, 'Working Capital'!$J36:$BQ36)</f>
        <v>1732499.9999999998</v>
      </c>
      <c r="N15" s="10">
        <f ca="1" xml:space="preserve"> SUMIF( Time!$J352:$BQ352, Time!N$28, 'Working Capital'!$J36:$BQ36)</f>
        <v>2940000</v>
      </c>
      <c r="O15" s="10">
        <f ca="1" xml:space="preserve"> SUMIF( Time!$J352:$BQ352, Time!O$28, 'Working Capital'!$J36:$BQ36)</f>
        <v>4536000</v>
      </c>
      <c r="P15" s="10">
        <f ca="1" xml:space="preserve"> SUMIF( Time!$J352:$BQ352, Time!P$28, 'Working Capital'!$J36:$BQ36)</f>
        <v>6383999.9999999981</v>
      </c>
      <c r="Q15" s="10">
        <f ca="1" xml:space="preserve"> SUMIF( Time!$J352:$BQ352, Time!Q$28, 'Working Capital'!$J36:$BQ36)</f>
        <v>9124500</v>
      </c>
      <c r="R15" s="10">
        <f ca="1" xml:space="preserve"> SUMIF( Time!$J352:$BQ352, Time!R$28, 'Working Capital'!$J36:$BQ36)</f>
        <v>12967500</v>
      </c>
      <c r="S15" s="10">
        <f ca="1" xml:space="preserve"> SUMIF( Time!$J352:$BQ352, Time!S$28, 'Working Capital'!$J36:$BQ36)</f>
        <v>18606000</v>
      </c>
    </row>
    <row r="16" spans="1:1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Time!$J352:$BQ352, Time!J$28, 'Supply Chain finance'!$J15:$BQ15)</f>
        <v>0</v>
      </c>
      <c r="K16" s="10">
        <f ca="1" xml:space="preserve"> SUMIF( Time!$J352:$BQ352, Time!K$28, 'Supply Chain finance'!$J15:$BQ15)</f>
        <v>0</v>
      </c>
      <c r="L16" s="10">
        <f ca="1" xml:space="preserve"> SUMIF( Time!$J352:$BQ352, Time!L$28, 'Supply Chain finance'!$J15:$BQ15)</f>
        <v>0</v>
      </c>
      <c r="M16" s="10">
        <f ca="1" xml:space="preserve"> SUMIF( Time!$J352:$BQ352, Time!M$28, 'Supply Chain finance'!$J15:$BQ15)</f>
        <v>0</v>
      </c>
      <c r="N16" s="10">
        <f ca="1" xml:space="preserve"> SUMIF( Time!$J352:$BQ352, Time!N$28, 'Supply Chain finance'!$J15:$BQ15)</f>
        <v>0</v>
      </c>
      <c r="O16" s="10">
        <f ca="1" xml:space="preserve"> SUMIF( Time!$J352:$BQ352, Time!O$28, 'Supply Chain finance'!$J15:$BQ15)</f>
        <v>0</v>
      </c>
      <c r="P16" s="10">
        <f ca="1" xml:space="preserve"> SUMIF( Time!$J352:$BQ352, Time!P$28, 'Supply Chain finance'!$J15:$BQ15)</f>
        <v>0</v>
      </c>
      <c r="Q16" s="10">
        <f ca="1" xml:space="preserve"> SUMIF( Time!$J352:$BQ352, Time!Q$28, 'Supply Chain finance'!$J15:$BQ15)</f>
        <v>0</v>
      </c>
      <c r="R16" s="10">
        <f ca="1" xml:space="preserve"> SUMIF( Time!$J352:$BQ352, Time!R$28, 'Supply Chain finance'!$J15:$BQ15)</f>
        <v>0</v>
      </c>
      <c r="S16" s="10">
        <f ca="1" xml:space="preserve"> SUMIF( Time!$J352:$BQ352, Time!S$28,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Time!$J352:$BQ352, Time!J$28, 'Invoice finance'!$J15:$BQ15)</f>
        <v>0</v>
      </c>
      <c r="K17" s="10">
        <f ca="1" xml:space="preserve"> SUMIF( Time!$J352:$BQ352, Time!K$28, 'Invoice finance'!$J15:$BQ15)</f>
        <v>0</v>
      </c>
      <c r="L17" s="10">
        <f ca="1" xml:space="preserve"> SUMIF( Time!$J352:$BQ352, Time!L$28, 'Invoice finance'!$J15:$BQ15)</f>
        <v>0</v>
      </c>
      <c r="M17" s="10">
        <f ca="1" xml:space="preserve"> SUMIF( Time!$J352:$BQ352, Time!M$28, 'Invoice finance'!$J15:$BQ15)</f>
        <v>0</v>
      </c>
      <c r="N17" s="10">
        <f ca="1" xml:space="preserve"> SUMIF( Time!$J352:$BQ352, Time!N$28, 'Invoice finance'!$J15:$BQ15)</f>
        <v>0</v>
      </c>
      <c r="O17" s="10">
        <f ca="1" xml:space="preserve"> SUMIF( Time!$J352:$BQ352, Time!O$28, 'Invoice finance'!$J15:$BQ15)</f>
        <v>0</v>
      </c>
      <c r="P17" s="10">
        <f ca="1" xml:space="preserve"> SUMIF( Time!$J352:$BQ352, Time!P$28, 'Invoice finance'!$J15:$BQ15)</f>
        <v>0</v>
      </c>
      <c r="Q17" s="10">
        <f ca="1" xml:space="preserve"> SUMIF( Time!$J352:$BQ352, Time!Q$28, 'Invoice finance'!$J15:$BQ15)</f>
        <v>0</v>
      </c>
      <c r="R17" s="10">
        <f ca="1" xml:space="preserve"> SUMIF( Time!$J352:$BQ352, Time!R$28, 'Invoice finance'!$J15:$BQ15)</f>
        <v>0</v>
      </c>
      <c r="S17" s="10">
        <f ca="1" xml:space="preserve"> SUMIF( Time!$J352:$BQ352, Time!S$28,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Time!$J352:$BQ352, Time!J$28, 'Asset Finance'!$J15:$BQ15)</f>
        <v>0</v>
      </c>
      <c r="K18" s="10">
        <f ca="1" xml:space="preserve"> SUMIF( Time!$J352:$BQ352, Time!K$28, 'Asset Finance'!$J15:$BQ15)</f>
        <v>0</v>
      </c>
      <c r="L18" s="10">
        <f ca="1" xml:space="preserve"> SUMIF( Time!$J352:$BQ352, Time!L$28, 'Asset Finance'!$J15:$BQ15)</f>
        <v>0</v>
      </c>
      <c r="M18" s="10">
        <f ca="1" xml:space="preserve"> SUMIF( Time!$J352:$BQ352, Time!M$28, 'Asset Finance'!$J15:$BQ15)</f>
        <v>0</v>
      </c>
      <c r="N18" s="10">
        <f ca="1" xml:space="preserve"> SUMIF( Time!$J352:$BQ352, Time!N$28, 'Asset Finance'!$J15:$BQ15)</f>
        <v>0</v>
      </c>
      <c r="O18" s="10">
        <f ca="1" xml:space="preserve"> SUMIF( Time!$J352:$BQ352, Time!O$28, 'Asset Finance'!$J15:$BQ15)</f>
        <v>0</v>
      </c>
      <c r="P18" s="10">
        <f ca="1" xml:space="preserve"> SUMIF( Time!$J352:$BQ352, Time!P$28, 'Asset Finance'!$J15:$BQ15)</f>
        <v>0</v>
      </c>
      <c r="Q18" s="10">
        <f ca="1" xml:space="preserve"> SUMIF( Time!$J352:$BQ352, Time!Q$28, 'Asset Finance'!$J15:$BQ15)</f>
        <v>0</v>
      </c>
      <c r="R18" s="10">
        <f ca="1" xml:space="preserve"> SUMIF( Time!$J352:$BQ352, Time!R$28, 'Asset Finance'!$J15:$BQ15)</f>
        <v>0</v>
      </c>
      <c r="S18" s="10">
        <f ca="1" xml:space="preserve"> SUMIF( Time!$J352:$BQ352, Time!S$28, 'Asset Finance'!$J15:$BQ15)</f>
        <v>0</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Time!$J352:$BQ352, Time!J$28, VAT!$J32:$BQ32)</f>
        <v>68839.214314865443</v>
      </c>
      <c r="K19" s="10">
        <f ca="1" xml:space="preserve"> SUMIF( Time!$J352:$BQ352, Time!K$28, VAT!$J32:$BQ32)</f>
        <v>-23686.826870344114</v>
      </c>
      <c r="L19" s="10">
        <f ca="1" xml:space="preserve"> SUMIF( Time!$J352:$BQ352, Time!L$28, VAT!$J32:$BQ32)</f>
        <v>-18515.623776215827</v>
      </c>
      <c r="M19" s="10">
        <f ca="1" xml:space="preserve"> SUMIF( Time!$J352:$BQ352, Time!M$28, VAT!$J32:$BQ32)</f>
        <v>305044.1707389825</v>
      </c>
      <c r="N19" s="10">
        <f ca="1" xml:space="preserve"> SUMIF( Time!$J352:$BQ352, Time!N$28, VAT!$J32:$BQ32)</f>
        <v>626164.27815668099</v>
      </c>
      <c r="O19" s="10">
        <f ca="1" xml:space="preserve"> SUMIF( Time!$J352:$BQ352, Time!O$28, VAT!$J32:$BQ32)</f>
        <v>1398848.6756747691</v>
      </c>
      <c r="P19" s="10">
        <f ca="1" xml:space="preserve"> SUMIF( Time!$J352:$BQ352, Time!P$28, VAT!$J32:$BQ32)</f>
        <v>2546068.8523739846</v>
      </c>
      <c r="Q19" s="10">
        <f ca="1" xml:space="preserve"> SUMIF( Time!$J352:$BQ352, Time!Q$28, VAT!$J32:$BQ32)</f>
        <v>3640623.6012510099</v>
      </c>
      <c r="R19" s="10">
        <f ca="1" xml:space="preserve"> SUMIF( Time!$J352:$BQ352, Time!R$28, VAT!$J32:$BQ32)</f>
        <v>5095205.4561690874</v>
      </c>
      <c r="S19" s="10">
        <f ca="1" xml:space="preserve"> SUMIF( Time!$J352:$BQ352, Time!S$28, VAT!$J32:$BQ32)</f>
        <v>7284466.817497842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Time!$J352:$BQ352, Time!J$28, 'Corporation tax'!$J78:$BQ78)</f>
        <v>0</v>
      </c>
      <c r="K20" s="10">
        <f ca="1" xml:space="preserve"> SUMIF( Time!$J352:$BQ352, Time!K$28, 'Corporation tax'!$J78:$BQ78)</f>
        <v>450976.02868667158</v>
      </c>
      <c r="L20" s="10">
        <f ca="1" xml:space="preserve"> SUMIF( Time!$J352:$BQ352, Time!L$28, 'Corporation tax'!$J78:$BQ78)</f>
        <v>968709.86762981722</v>
      </c>
      <c r="M20" s="10">
        <f ca="1" xml:space="preserve"> SUMIF( Time!$J352:$BQ352, Time!M$28, 'Corporation tax'!$J78:$BQ78)</f>
        <v>3015305.6722375061</v>
      </c>
      <c r="N20" s="10">
        <f ca="1" xml:space="preserve"> SUMIF( Time!$J352:$BQ352, Time!N$28, 'Corporation tax'!$J78:$BQ78)</f>
        <v>1754733.6314773127</v>
      </c>
      <c r="O20" s="10">
        <f ca="1" xml:space="preserve"> SUMIF( Time!$J352:$BQ352, Time!O$28, 'Corporation tax'!$J78:$BQ78)</f>
        <v>6311789.5763919428</v>
      </c>
      <c r="P20" s="10">
        <f ca="1" xml:space="preserve"> SUMIF( Time!$J352:$BQ352, Time!P$28, 'Corporation tax'!$J78:$BQ78)</f>
        <v>3957304.760690697</v>
      </c>
      <c r="Q20" s="10">
        <f ca="1" xml:space="preserve"> SUMIF( Time!$J352:$BQ352, Time!Q$28, 'Corporation tax'!$J78:$BQ78)</f>
        <v>14764009.528499331</v>
      </c>
      <c r="R20" s="10">
        <f ca="1" xml:space="preserve"> SUMIF( Time!$J352:$BQ352, Time!R$28, 'Corporation tax'!$J78:$BQ78)</f>
        <v>8652914.8866719976</v>
      </c>
      <c r="S20" s="10">
        <f ca="1" xml:space="preserve"> SUMIF( Time!$J352:$BQ352, Time!S$28, 'Corporation tax'!$J78:$BQ78)</f>
        <v>31079993.489456456</v>
      </c>
    </row>
    <row r="21" spans="5:16384">
      <c r="E21" s="12" t="s">
        <v>227</v>
      </c>
      <c r="F21" s="30"/>
      <c r="G21" s="12" t="s">
        <v>257</v>
      </c>
      <c r="H21" s="54"/>
      <c r="I21" s="30"/>
      <c r="J21" s="12">
        <f ca="1" xml:space="preserve"> SUMIF( Time!$J352:$BQ352, Time!J$28, 'Balance Sheet'!$J21:$BQ21)</f>
        <v>2623839.2143148654</v>
      </c>
      <c r="K21" s="12">
        <f ca="1" xml:space="preserve"> SUMIF( Time!$J352:$BQ352, Time!K$28, 'Balance Sheet'!$J21:$BQ21)</f>
        <v>7525289.2018163269</v>
      </c>
      <c r="L21" s="12">
        <f ca="1" xml:space="preserve"> SUMIF( Time!$J352:$BQ352, Time!L$28, 'Balance Sheet'!$J21:$BQ21)</f>
        <v>12862340.057248229</v>
      </c>
      <c r="M21" s="12">
        <f ca="1" xml:space="preserve"> SUMIF( Time!$J352:$BQ352, Time!M$28, 'Balance Sheet'!$J21:$BQ21)</f>
        <v>18172495.656371117</v>
      </c>
      <c r="N21" s="12">
        <f ca="1" xml:space="preserve"> SUMIF( Time!$J352:$BQ352, Time!N$28, 'Balance Sheet'!$J21:$BQ21)</f>
        <v>32335543.723028623</v>
      </c>
      <c r="O21" s="12">
        <f ca="1" xml:space="preserve"> SUMIF( Time!$J352:$BQ352, Time!O$28, 'Balance Sheet'!$J21:$BQ21)</f>
        <v>48641284.065461338</v>
      </c>
      <c r="P21" s="12">
        <f ca="1" xml:space="preserve"> SUMIF( Time!$J352:$BQ352, Time!P$28, 'Balance Sheet'!$J21:$BQ21)</f>
        <v>79590194.821878806</v>
      </c>
      <c r="Q21" s="12">
        <f ca="1" xml:space="preserve"> SUMIF( Time!$J352:$BQ352, Time!Q$28, 'Balance Sheet'!$J21:$BQ21)</f>
        <v>132146675.40435174</v>
      </c>
      <c r="R21" s="12">
        <f ca="1" xml:space="preserve"> SUMIF( Time!$J352:$BQ352, Time!R$28, 'Balance Sheet'!$J21:$BQ21)</f>
        <v>189878024.84064248</v>
      </c>
      <c r="S21" s="12">
        <f ca="1" xml:space="preserve"> SUMIF( Time!$J352:$BQ352, Time!S$28, 'Balance Sheet'!$J21:$BQ21)</f>
        <v>300484818.36869133</v>
      </c>
    </row>
    <row r="23" spans="5:16384">
      <c r="E23" s="68" t="str">
        <f xml:space="preserve"> Financials!E$24</f>
        <v>Net Assets</v>
      </c>
      <c r="F23" s="68"/>
      <c r="G23" s="68" t="str">
        <f xml:space="preserve"> Financials!G$24</f>
        <v>GBP</v>
      </c>
      <c r="H23" s="110">
        <f xml:space="preserve"> Financials!H$24</f>
        <v>0</v>
      </c>
      <c r="I23" s="68">
        <f xml:space="preserve"> Financials!I$24</f>
        <v>0</v>
      </c>
      <c r="J23" s="19">
        <f ca="1" xml:space="preserve"> SUMIF( Time!$J352:$BQ352, Time!J$28, Financials!$J24:$BQ24)</f>
        <v>-89115.237220703159</v>
      </c>
      <c r="K23" s="19">
        <f ca="1" xml:space="preserve"> SUMIF( Time!$J352:$BQ352, Time!K$28, Financials!$J24:$BQ24)</f>
        <v>1569195.781413353</v>
      </c>
      <c r="L23" s="19">
        <f ca="1" xml:space="preserve"> SUMIF( Time!$J352:$BQ352, Time!L$28, Financials!$J24:$BQ24)</f>
        <v>7848384.8658541273</v>
      </c>
      <c r="M23" s="19">
        <f ca="1" xml:space="preserve"> SUMIF( Time!$J352:$BQ352, Time!M$28, Financials!$J24:$BQ24)</f>
        <v>15546226.417618215</v>
      </c>
      <c r="N23" s="19">
        <f ca="1" xml:space="preserve"> SUMIF( Time!$J352:$BQ352, Time!N$28, Financials!$J24:$BQ24)</f>
        <v>27596550.857912235</v>
      </c>
      <c r="O23" s="19">
        <f ca="1" xml:space="preserve"> SUMIF( Time!$J352:$BQ352, Time!O$28, Financials!$J24:$BQ24)</f>
        <v>44665399.637570754</v>
      </c>
      <c r="P23" s="19">
        <f ca="1" xml:space="preserve"> SUMIF( Time!$J352:$BQ352, Time!P$28, Financials!$J24:$BQ24)</f>
        <v>71201328.556568488</v>
      </c>
      <c r="Q23" s="19">
        <f ca="1" xml:space="preserve"> SUMIF( Time!$J352:$BQ352, Time!Q$28, Financials!$J24:$BQ24)</f>
        <v>111753699.20434937</v>
      </c>
      <c r="R23" s="19">
        <f ca="1" xml:space="preserve"> SUMIF( Time!$J352:$BQ352, Time!R$28, Financials!$J24:$BQ24)</f>
        <v>171313608.40811053</v>
      </c>
      <c r="S23" s="19">
        <f ca="1" xml:space="preserve"> SUMIF( Time!$J352:$BQ352, Time!S$28, Financials!$J24:$BQ24)</f>
        <v>255482005.61535609</v>
      </c>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Time!$J352:$BQ352, Time!J$28, Financials!$J38:$BQ38)</f>
        <v>-89115.237220703246</v>
      </c>
      <c r="K25" s="10">
        <f ca="1" xml:space="preserve"> SUMIF( Time!$J352:$BQ352, Time!K$28, Financials!$J38:$BQ38)</f>
        <v>1569195.781413353</v>
      </c>
      <c r="L25" s="10">
        <f ca="1" xml:space="preserve"> SUMIF( Time!$J352:$BQ352, Time!L$28, Financials!$J38:$BQ38)</f>
        <v>7848384.8658541311</v>
      </c>
      <c r="M25" s="10">
        <f ca="1" xml:space="preserve"> SUMIF( Time!$J352:$BQ352, Time!M$28, Financials!$J38:$BQ38)</f>
        <v>15546226.417618219</v>
      </c>
      <c r="N25" s="10">
        <f ca="1" xml:space="preserve"> SUMIF( Time!$J352:$BQ352, Time!N$28, Financials!$J38:$BQ38)</f>
        <v>27596550.857912228</v>
      </c>
      <c r="O25" s="10">
        <f ca="1" xml:space="preserve"> SUMIF( Time!$J352:$BQ352, Time!O$28, Financials!$J38:$BQ38)</f>
        <v>44665399.637570739</v>
      </c>
      <c r="P25" s="10">
        <f ca="1" xml:space="preserve"> SUMIF( Time!$J352:$BQ352, Time!P$28, Financials!$J38:$BQ38)</f>
        <v>71201328.556568488</v>
      </c>
      <c r="Q25" s="10">
        <f ca="1" xml:space="preserve"> SUMIF( Time!$J352:$BQ352, Time!Q$28, Financials!$J38:$BQ38)</f>
        <v>111753699.20434938</v>
      </c>
      <c r="R25" s="10">
        <f ca="1" xml:space="preserve"> SUMIF( Time!$J352:$BQ352, Time!R$28, Financials!$J38:$BQ38)</f>
        <v>171313608.40811056</v>
      </c>
      <c r="S25" s="10">
        <f ca="1" xml:space="preserve"> SUMIF( Time!$J352:$BQ352, Time!S$28, Financials!$J38:$BQ38)</f>
        <v>255482005.61535621</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Time!$J352:$BQ352, Time!J$28, Equity!$J13:$BQ13)</f>
        <v>0</v>
      </c>
      <c r="K26" s="10">
        <f xml:space="preserve"> SUMIF( Time!$J352:$BQ352, Time!K$28, Equity!$J13:$BQ13)</f>
        <v>0</v>
      </c>
      <c r="L26" s="10">
        <f xml:space="preserve"> SUMIF( Time!$J352:$BQ352, Time!L$28, Equity!$J13:$BQ13)</f>
        <v>0</v>
      </c>
      <c r="M26" s="10">
        <f xml:space="preserve"> SUMIF( Time!$J352:$BQ352, Time!M$28, Equity!$J13:$BQ13)</f>
        <v>0</v>
      </c>
      <c r="N26" s="10">
        <f xml:space="preserve"> SUMIF( Time!$J352:$BQ352, Time!N$28, Equity!$J13:$BQ13)</f>
        <v>0</v>
      </c>
      <c r="O26" s="10">
        <f xml:space="preserve"> SUMIF( Time!$J352:$BQ352, Time!O$28, Equity!$J13:$BQ13)</f>
        <v>0</v>
      </c>
      <c r="P26" s="10">
        <f xml:space="preserve"> SUMIF( Time!$J352:$BQ352, Time!P$28, Equity!$J13:$BQ13)</f>
        <v>0</v>
      </c>
      <c r="Q26" s="10">
        <f xml:space="preserve"> SUMIF( Time!$J352:$BQ352, Time!Q$28, Equity!$J13:$BQ13)</f>
        <v>0</v>
      </c>
      <c r="R26" s="10">
        <f xml:space="preserve"> SUMIF( Time!$J352:$BQ352, Time!R$28, Equity!$J13:$BQ13)</f>
        <v>0</v>
      </c>
      <c r="S26" s="10">
        <f xml:space="preserve"> SUMIF( Time!$J352:$BQ352, Time!S$28, Equity!$J13:$BQ13)</f>
        <v>0</v>
      </c>
    </row>
    <row r="27" spans="5:16384">
      <c r="E27" s="68" t="str">
        <f xml:space="preserve"> Financials!E$30</f>
        <v>Shareholder Equity</v>
      </c>
      <c r="F27" s="68"/>
      <c r="G27" s="68" t="str">
        <f xml:space="preserve"> Financials!G$30</f>
        <v>GBP</v>
      </c>
      <c r="H27" s="110">
        <f xml:space="preserve"> Financials!H$30</f>
        <v>0</v>
      </c>
      <c r="I27" s="68">
        <f xml:space="preserve"> Financials!I$30</f>
        <v>0</v>
      </c>
      <c r="J27" s="19">
        <f ca="1" xml:space="preserve"> SUMIF( Time!$J352:$BQ352, Time!J$28, Financials!$J30:$BQ30)</f>
        <v>-89115.237220703246</v>
      </c>
      <c r="K27" s="19">
        <f ca="1" xml:space="preserve"> SUMIF( Time!$J352:$BQ352, Time!K$28, Financials!$J30:$BQ30)</f>
        <v>1569195.781413353</v>
      </c>
      <c r="L27" s="19">
        <f ca="1" xml:space="preserve"> SUMIF( Time!$J352:$BQ352, Time!L$28, Financials!$J30:$BQ30)</f>
        <v>7848384.8658541311</v>
      </c>
      <c r="M27" s="19">
        <f ca="1" xml:space="preserve"> SUMIF( Time!$J352:$BQ352, Time!M$28, Financials!$J30:$BQ30)</f>
        <v>15546226.417618219</v>
      </c>
      <c r="N27" s="19">
        <f ca="1" xml:space="preserve"> SUMIF( Time!$J352:$BQ352, Time!N$28, Financials!$J30:$BQ30)</f>
        <v>27596550.857912228</v>
      </c>
      <c r="O27" s="19">
        <f ca="1" xml:space="preserve"> SUMIF( Time!$J352:$BQ352, Time!O$28, Financials!$J30:$BQ30)</f>
        <v>44665399.637570739</v>
      </c>
      <c r="P27" s="19">
        <f ca="1" xml:space="preserve"> SUMIF( Time!$J352:$BQ352, Time!P$28, Financials!$J30:$BQ30)</f>
        <v>71201328.556568488</v>
      </c>
      <c r="Q27" s="19">
        <f ca="1" xml:space="preserve"> SUMIF( Time!$J352:$BQ352, Time!Q$28, Financials!$J30:$BQ30)</f>
        <v>111753699.20434938</v>
      </c>
      <c r="R27" s="19">
        <f ca="1" xml:space="preserve"> SUMIF( Time!$J352:$BQ352, Time!R$28, Financials!$J30:$BQ30)</f>
        <v>171313608.40811056</v>
      </c>
      <c r="S27" s="19">
        <f ca="1" xml:space="preserve"> SUMIF( Time!$J352:$BQ352, Time!S$28, Financials!$J30:$BQ30)</f>
        <v>255482005.61535621</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77" priority="1" stopIfTrue="1" operator="notEqual">
      <formula>0</formula>
    </cfRule>
    <cfRule type="cellIs" dxfId="76" priority="2" stopIfTrue="1" operator="equal">
      <formula>""</formula>
    </cfRule>
  </conditionalFormatting>
  <conditionalFormatting sqref="J3:S3">
    <cfRule type="cellIs" dxfId="75" priority="3" operator="equal">
      <formula>"PPA ext."</formula>
    </cfRule>
    <cfRule type="cellIs" dxfId="74" priority="4" operator="equal">
      <formula>"Delay"</formula>
    </cfRule>
    <cfRule type="cellIs" dxfId="73" priority="5" operator="equal">
      <formula>"Fin Close"</formula>
    </cfRule>
    <cfRule type="cellIs" dxfId="72" priority="6" stopIfTrue="1" operator="equal">
      <formula>"Construction"</formula>
    </cfRule>
    <cfRule type="cellIs" dxfId="7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4F81BD"/>
    <outlinePr summaryBelow="0" summaryRight="0"/>
  </sheetPr>
  <dimension ref="A1:BQ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44" bestFit="1" customWidth="1"/>
    <col min="6" max="6" width="20.5546875" bestFit="1" customWidth="1"/>
    <col min="7" max="7" width="13.21875" bestFit="1" customWidth="1"/>
    <col min="8" max="8" width="15.109375" style="45"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2.44140625" bestFit="1" customWidth="1"/>
    <col min="22" max="22" width="12.33203125" bestFit="1" customWidth="1"/>
    <col min="23" max="23" width="12.109375" bestFit="1" customWidth="1"/>
    <col min="24" max="25" width="12.44140625" bestFit="1" customWidth="1"/>
    <col min="26" max="26" width="12.21875" bestFit="1" customWidth="1"/>
    <col min="27" max="27" width="12.4414062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2.44140625" bestFit="1" customWidth="1"/>
    <col min="34" max="34" width="12.33203125" bestFit="1" customWidth="1"/>
    <col min="35" max="35" width="12.109375" bestFit="1" customWidth="1"/>
    <col min="36" max="36" width="13.21875" bestFit="1" customWidth="1"/>
    <col min="37" max="37" width="12.44140625" bestFit="1" customWidth="1"/>
    <col min="38" max="38" width="12.21875" bestFit="1" customWidth="1"/>
    <col min="39" max="39" width="12.44140625" bestFit="1" customWidth="1"/>
    <col min="40" max="40" width="12.33203125" bestFit="1" customWidth="1"/>
    <col min="41" max="41" width="12.21875" bestFit="1" customWidth="1"/>
    <col min="42" max="45" width="12.44140625" bestFit="1" customWidth="1"/>
    <col min="46" max="59" width="13.21875" bestFit="1" customWidth="1"/>
    <col min="60" max="61" width="13.88671875" bestFit="1" customWidth="1"/>
    <col min="62" max="62" width="13.21875" bestFit="1" customWidth="1"/>
    <col min="63" max="63" width="13.88671875" bestFit="1" customWidth="1"/>
    <col min="64" max="65" width="13.21875" bestFit="1" customWidth="1"/>
    <col min="66" max="66" width="13.88671875" bestFit="1" customWidth="1"/>
    <col min="67" max="68" width="13.21875" bestFit="1" customWidth="1"/>
    <col min="69" max="69" width="13.88671875" bestFit="1" customWidth="1"/>
    <col min="70" max="70" width="15.109375" hidden="1" customWidth="1"/>
    <col min="71" max="16384" width="15.109375" hidden="1"/>
  </cols>
  <sheetData>
    <row r="1" spans="1:69" s="72" customFormat="1" ht="25">
      <c r="A1" s="46" t="str">
        <f ca="1" xml:space="preserve"> RIGHT(CELL("filename", A1), LEN(CELL("filename", A1)) - SEARCH("]", CELL("filename", A1)))</f>
        <v>Cashflow</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'Working Capital'!E$22</f>
        <v>Cash in from Sales</v>
      </c>
      <c r="F8" s="17">
        <f xml:space="preserve"> 'Working Capital'!F$22</f>
        <v>0</v>
      </c>
      <c r="G8" s="17" t="str">
        <f xml:space="preserve"> 'Working Capital'!G$22</f>
        <v>GBP</v>
      </c>
      <c r="H8" s="44">
        <f ca="1" xml:space="preserve"> 'Working Capital'!H$22</f>
        <v>690480000</v>
      </c>
      <c r="I8" s="17">
        <f xml:space="preserve"> 'Working Capital'!I$22</f>
        <v>0</v>
      </c>
      <c r="J8" s="10">
        <f ca="1" xml:space="preserve"> 'Working Capital'!J$22</f>
        <v>0</v>
      </c>
      <c r="K8" s="10">
        <f ca="1" xml:space="preserve"> 'Working Capital'!K$22</f>
        <v>0</v>
      </c>
      <c r="L8" s="10">
        <f ca="1" xml:space="preserve"> 'Working Capital'!L$22</f>
        <v>0</v>
      </c>
      <c r="M8" s="10">
        <f ca="1" xml:space="preserve"> 'Working Capital'!M$22</f>
        <v>0</v>
      </c>
      <c r="N8" s="10">
        <f ca="1" xml:space="preserve"> 'Working Capital'!N$22</f>
        <v>1008000</v>
      </c>
      <c r="O8" s="10">
        <f ca="1" xml:space="preserve"> 'Working Capital'!O$22</f>
        <v>504000</v>
      </c>
      <c r="P8" s="10">
        <f ca="1" xml:space="preserve"> 'Working Capital'!P$22</f>
        <v>504000</v>
      </c>
      <c r="Q8" s="10">
        <f ca="1" xml:space="preserve"> 'Working Capital'!Q$22</f>
        <v>504000</v>
      </c>
      <c r="R8" s="10">
        <f ca="1" xml:space="preserve"> 'Working Capital'!R$22</f>
        <v>2520000</v>
      </c>
      <c r="S8" s="10">
        <f ca="1" xml:space="preserve"> 'Working Capital'!S$22</f>
        <v>1512000</v>
      </c>
      <c r="T8" s="10">
        <f ca="1" xml:space="preserve"> 'Working Capital'!T$22</f>
        <v>1008000</v>
      </c>
      <c r="U8" s="10">
        <f ca="1" xml:space="preserve"> 'Working Capital'!U$22</f>
        <v>0</v>
      </c>
      <c r="V8" s="10">
        <f ca="1" xml:space="preserve"> 'Working Capital'!V$22</f>
        <v>5040000</v>
      </c>
      <c r="W8" s="10">
        <f ca="1" xml:space="preserve"> 'Working Capital'!W$22</f>
        <v>0</v>
      </c>
      <c r="X8" s="10">
        <f ca="1" xml:space="preserve"> 'Working Capital'!X$22</f>
        <v>5040000</v>
      </c>
      <c r="Y8" s="10">
        <f ca="1" xml:space="preserve"> 'Working Capital'!Y$22</f>
        <v>4181846.9977854234</v>
      </c>
      <c r="Z8" s="10">
        <f ca="1" xml:space="preserve"> 'Working Capital'!Z$22</f>
        <v>1866153.0022145766</v>
      </c>
      <c r="AA8" s="10">
        <f ca="1" xml:space="preserve"> 'Working Capital'!AA$22</f>
        <v>5471253.289331899</v>
      </c>
      <c r="AB8" s="10">
        <f ca="1" xml:space="preserve"> 'Working Capital'!AB$22</f>
        <v>576746.71066810063</v>
      </c>
      <c r="AC8" s="10">
        <f ca="1" xml:space="preserve"> 'Working Capital'!AC$22</f>
        <v>504000</v>
      </c>
      <c r="AD8" s="10">
        <f ca="1" xml:space="preserve"> 'Working Capital'!AD$22</f>
        <v>2520000</v>
      </c>
      <c r="AE8" s="10">
        <f ca="1" xml:space="preserve"> 'Working Capital'!AE$22</f>
        <v>1512000</v>
      </c>
      <c r="AF8" s="10">
        <f ca="1" xml:space="preserve"> 'Working Capital'!AF$22</f>
        <v>1008000</v>
      </c>
      <c r="AG8" s="10">
        <f ca="1" xml:space="preserve"> 'Working Capital'!AG$22</f>
        <v>2520000</v>
      </c>
      <c r="AH8" s="10">
        <f ca="1" xml:space="preserve"> 'Working Capital'!AH$22</f>
        <v>7560000</v>
      </c>
      <c r="AI8" s="10">
        <f ca="1" xml:space="preserve"> 'Working Capital'!AI$22</f>
        <v>2520000</v>
      </c>
      <c r="AJ8" s="10">
        <f ca="1" xml:space="preserve"> 'Working Capital'!AJ$22</f>
        <v>10080000</v>
      </c>
      <c r="AK8" s="10">
        <f ca="1" xml:space="preserve"> 'Working Capital'!AK$22</f>
        <v>6701846.997785423</v>
      </c>
      <c r="AL8" s="10">
        <f ca="1" xml:space="preserve"> 'Working Capital'!AL$22</f>
        <v>5898153.002214577</v>
      </c>
      <c r="AM8" s="10">
        <f ca="1" xml:space="preserve"> 'Working Capital'!AM$22</f>
        <v>7487253.289331899</v>
      </c>
      <c r="AN8" s="10">
        <f ca="1" xml:space="preserve"> 'Working Capital'!AN$22</f>
        <v>5112746.710668101</v>
      </c>
      <c r="AO8" s="10">
        <f ca="1" xml:space="preserve"> 'Working Capital'!AO$22</f>
        <v>5040000</v>
      </c>
      <c r="AP8" s="10">
        <f ca="1" xml:space="preserve"> 'Working Capital'!AP$22</f>
        <v>5040000</v>
      </c>
      <c r="AQ8" s="10">
        <f ca="1" xml:space="preserve"> 'Working Capital'!AQ$22</f>
        <v>5040000</v>
      </c>
      <c r="AR8" s="10">
        <f ca="1" xml:space="preserve"> 'Working Capital'!AR$22</f>
        <v>7560000</v>
      </c>
      <c r="AS8" s="10">
        <f ca="1" xml:space="preserve"> 'Working Capital'!AS$22</f>
        <v>7560000</v>
      </c>
      <c r="AT8" s="10">
        <f ca="1" xml:space="preserve"> 'Working Capital'!AT$22</f>
        <v>10080000</v>
      </c>
      <c r="AU8" s="10">
        <f ca="1" xml:space="preserve"> 'Working Capital'!AU$22</f>
        <v>10080000</v>
      </c>
      <c r="AV8" s="10">
        <f ca="1" xml:space="preserve"> 'Working Capital'!AV$22</f>
        <v>15120000</v>
      </c>
      <c r="AW8" s="10">
        <f ca="1" xml:space="preserve"> 'Working Capital'!AW$22</f>
        <v>10080000</v>
      </c>
      <c r="AX8" s="10">
        <f ca="1" xml:space="preserve"> 'Working Capital'!AX$22</f>
        <v>15120000</v>
      </c>
      <c r="AY8" s="10">
        <f ca="1" xml:space="preserve"> 'Working Capital'!AY$22</f>
        <v>15120000</v>
      </c>
      <c r="AZ8" s="10">
        <f ca="1" xml:space="preserve"> 'Working Capital'!AZ$22</f>
        <v>15120000</v>
      </c>
      <c r="BA8" s="10">
        <f ca="1" xml:space="preserve"> 'Working Capital'!BA$22</f>
        <v>17640000</v>
      </c>
      <c r="BB8" s="10">
        <f ca="1" xml:space="preserve"> 'Working Capital'!BB$22</f>
        <v>17640000</v>
      </c>
      <c r="BC8" s="10">
        <f ca="1" xml:space="preserve"> 'Working Capital'!BC$22</f>
        <v>17640000</v>
      </c>
      <c r="BD8" s="10">
        <f ca="1" xml:space="preserve"> 'Working Capital'!BD$22</f>
        <v>20160000</v>
      </c>
      <c r="BE8" s="10">
        <f ca="1" xml:space="preserve"> 'Working Capital'!BE$22</f>
        <v>20160000</v>
      </c>
      <c r="BF8" s="10">
        <f ca="1" xml:space="preserve"> 'Working Capital'!BF$22</f>
        <v>22680000</v>
      </c>
      <c r="BG8" s="10">
        <f ca="1" xml:space="preserve"> 'Working Capital'!BG$22</f>
        <v>25200000</v>
      </c>
      <c r="BH8" s="10">
        <f ca="1" xml:space="preserve"> 'Working Capital'!BH$22</f>
        <v>27720000</v>
      </c>
      <c r="BI8" s="10">
        <f ca="1" xml:space="preserve"> 'Working Capital'!BI$22</f>
        <v>25200000</v>
      </c>
      <c r="BJ8" s="10">
        <f ca="1" xml:space="preserve"> 'Working Capital'!BJ$22</f>
        <v>30240000</v>
      </c>
      <c r="BK8" s="10">
        <f ca="1" xml:space="preserve"> 'Working Capital'!BK$22</f>
        <v>32760000</v>
      </c>
      <c r="BL8" s="10">
        <f ca="1" xml:space="preserve"> 'Working Capital'!BL$22</f>
        <v>32760000</v>
      </c>
      <c r="BM8" s="10">
        <f ca="1" xml:space="preserve"> 'Working Capital'!BM$22</f>
        <v>35280000</v>
      </c>
      <c r="BN8" s="10">
        <f ca="1" xml:space="preserve"> 'Working Capital'!BN$22</f>
        <v>37800000</v>
      </c>
      <c r="BO8" s="10">
        <f ca="1" xml:space="preserve"> 'Working Capital'!BO$22</f>
        <v>37800000.000000007</v>
      </c>
      <c r="BP8" s="10">
        <f ca="1" xml:space="preserve"> 'Working Capital'!BP$22</f>
        <v>40319999.999999993</v>
      </c>
      <c r="BQ8" s="10">
        <f ca="1" xml:space="preserve"> 'Working Capital'!BQ$22</f>
        <v>45360000</v>
      </c>
    </row>
    <row r="9" spans="1:69">
      <c r="E9" s="17" t="str">
        <f xml:space="preserve"> 'Working Capital'!E$52</f>
        <v xml:space="preserve">Cash out on Operating Expense </v>
      </c>
      <c r="F9" s="17">
        <f xml:space="preserve"> 'Working Capital'!F$52</f>
        <v>0</v>
      </c>
      <c r="G9" s="17" t="str">
        <f xml:space="preserve"> 'Working Capital'!G$52</f>
        <v>GBP</v>
      </c>
      <c r="H9" s="44">
        <f ca="1" xml:space="preserve"> 'Working Capital'!H$52</f>
        <v>-78274069.097712979</v>
      </c>
      <c r="I9" s="17">
        <f xml:space="preserve"> 'Working Capital'!I$52</f>
        <v>0</v>
      </c>
      <c r="J9" s="10">
        <f ca="1">'Working Capital'!J$52</f>
        <v>-73700</v>
      </c>
      <c r="K9" s="10">
        <f ca="1">'Working Capital'!K$52</f>
        <v>-73700</v>
      </c>
      <c r="L9" s="10">
        <f ca="1">'Working Capital'!L$52</f>
        <v>-73700</v>
      </c>
      <c r="M9" s="10">
        <f ca="1">'Working Capital'!M$52</f>
        <v>-74368.642536480067</v>
      </c>
      <c r="N9" s="10">
        <f ca="1">'Working Capital'!N$52</f>
        <v>-166768.64253648007</v>
      </c>
      <c r="O9" s="10">
        <f ca="1">'Working Capital'!O$52</f>
        <v>-166768.64253648007</v>
      </c>
      <c r="P9" s="10">
        <f ca="1">'Working Capital'!P$52</f>
        <v>-167453.54263083613</v>
      </c>
      <c r="Q9" s="10">
        <f ca="1">'Working Capital'!Q$52</f>
        <v>-259853.54263083613</v>
      </c>
      <c r="R9" s="10">
        <f ca="1">'Working Capital'!R$52</f>
        <v>-259853.54263083613</v>
      </c>
      <c r="S9" s="10">
        <f ca="1">'Working Capital'!S$52</f>
        <v>-260555.09557378589</v>
      </c>
      <c r="T9" s="10">
        <f ca="1">'Working Capital'!T$52</f>
        <v>-260555.09557378589</v>
      </c>
      <c r="U9" s="10">
        <f ca="1">'Working Capital'!U$52</f>
        <v>-260555.09557378589</v>
      </c>
      <c r="V9" s="10">
        <f ca="1">'Working Capital'!V$52</f>
        <v>-274985.97479699721</v>
      </c>
      <c r="W9" s="10">
        <f ca="1">'Working Capital'!W$52</f>
        <v>-289538.73315946513</v>
      </c>
      <c r="X9" s="10">
        <f ca="1">'Working Capital'!X$52</f>
        <v>-304956.84356562863</v>
      </c>
      <c r="Y9" s="10">
        <f ca="1">'Working Capital'!Y$52</f>
        <v>-322030.29115590546</v>
      </c>
      <c r="Z9" s="10">
        <f ca="1">'Working Capital'!Z$52</f>
        <v>-339336.53494346759</v>
      </c>
      <c r="AA9" s="10">
        <f ca="1">'Working Capital'!AA$52</f>
        <v>-357671.86153837462</v>
      </c>
      <c r="AB9" s="10">
        <f ca="1">'Working Capital'!AB$52</f>
        <v>-377849.88382317126</v>
      </c>
      <c r="AC9" s="10">
        <f ca="1">'Working Capital'!AC$52</f>
        <v>-398430.592069312</v>
      </c>
      <c r="AD9" s="10">
        <f ca="1">'Working Capital'!AD$52</f>
        <v>-420235.09291187406</v>
      </c>
      <c r="AE9" s="10">
        <f ca="1">'Working Capital'!AE$52</f>
        <v>-444109.32965202862</v>
      </c>
      <c r="AF9" s="10">
        <f ca="1">'Working Capital'!AF$52</f>
        <v>-468584.05433013418</v>
      </c>
      <c r="AG9" s="10">
        <f ca="1">'Working Capital'!AG$52</f>
        <v>-494514.12187119183</v>
      </c>
      <c r="AH9" s="10">
        <f ca="1">'Working Capital'!AH$52</f>
        <v>-564329.84337513894</v>
      </c>
      <c r="AI9" s="10">
        <f ca="1">'Working Capital'!AI$52</f>
        <v>-593435.3601000749</v>
      </c>
      <c r="AJ9" s="10">
        <f ca="1">'Working Capital'!AJ$52</f>
        <v>-624271.58091240178</v>
      </c>
      <c r="AK9" s="10">
        <f ca="1">'Working Capital'!AK$52</f>
        <v>-657749.7995115727</v>
      </c>
      <c r="AL9" s="10">
        <f ca="1">'Working Capital'!AL$52</f>
        <v>-775522.28708669741</v>
      </c>
      <c r="AM9" s="10">
        <f ca="1">'Working Capital'!AM$52</f>
        <v>-812192.94027651148</v>
      </c>
      <c r="AN9" s="10">
        <f ca="1">'Working Capital'!AN$52</f>
        <v>-851872.16169589094</v>
      </c>
      <c r="AO9" s="10">
        <f ca="1">'Working Capital'!AO$52</f>
        <v>-976193.57818817208</v>
      </c>
      <c r="AP9" s="10">
        <f ca="1">'Working Capital'!AP$52</f>
        <v>-1019802.5798732961</v>
      </c>
      <c r="AQ9" s="10">
        <f ca="1">'Working Capital'!AQ$52</f>
        <v>-1066854.9831392134</v>
      </c>
      <c r="AR9" s="10">
        <f ca="1">'Working Capital'!AR$52</f>
        <v>-1115804.4324954245</v>
      </c>
      <c r="AS9" s="10">
        <f ca="1">'Working Capital'!AS$52</f>
        <v>-1167664.5675775397</v>
      </c>
      <c r="AT9" s="10">
        <f ca="1">'Working Capital'!AT$52</f>
        <v>-1235811.1643934802</v>
      </c>
      <c r="AU9" s="10">
        <f ca="1">'Working Capital'!AU$52</f>
        <v>-1307119.6803695734</v>
      </c>
      <c r="AV9" s="10">
        <f ca="1">'Working Capital'!AV$52</f>
        <v>-1382668.4213597742</v>
      </c>
      <c r="AW9" s="10">
        <f ca="1">'Working Capital'!AW$52</f>
        <v>-1463598.9290120727</v>
      </c>
      <c r="AX9" s="10">
        <f ca="1">'Working Capital'!AX$52</f>
        <v>-1548399.5235711278</v>
      </c>
      <c r="AY9" s="10">
        <f ca="1">'Working Capital'!AY$52</f>
        <v>-1638242.6238861722</v>
      </c>
      <c r="AZ9" s="10">
        <f ca="1">'Working Capital'!AZ$52</f>
        <v>-1734339.0879513919</v>
      </c>
      <c r="BA9" s="10">
        <f ca="1">'Working Capital'!BA$52</f>
        <v>-1835184.5583574814</v>
      </c>
      <c r="BB9" s="10">
        <f ca="1">'Working Capital'!BB$52</f>
        <v>-1942026.6124860353</v>
      </c>
      <c r="BC9" s="10">
        <f ca="1">'Working Capital'!BC$52</f>
        <v>-2056156.9043649959</v>
      </c>
      <c r="BD9" s="10">
        <f ca="1">'Working Capital'!BD$52</f>
        <v>-2176083.0552877137</v>
      </c>
      <c r="BE9" s="10">
        <f ca="1">'Working Capital'!BE$52</f>
        <v>-2303140.3862388963</v>
      </c>
      <c r="BF9" s="10">
        <f ca="1">'Working Capital'!BF$52</f>
        <v>-2438677.40462618</v>
      </c>
      <c r="BG9" s="10">
        <f ca="1">'Working Capital'!BG$52</f>
        <v>-2581294.436578366</v>
      </c>
      <c r="BH9" s="10">
        <f ca="1">'Working Capital'!BH$52</f>
        <v>-2732391.9185587675</v>
      </c>
      <c r="BI9" s="10">
        <f ca="1">'Working Capital'!BI$52</f>
        <v>-2893452.5923918462</v>
      </c>
      <c r="BJ9" s="10">
        <f ca="1">'Working Capital'!BJ$52</f>
        <v>-3063053.7815099563</v>
      </c>
      <c r="BK9" s="10">
        <f ca="1">'Working Capital'!BK$52</f>
        <v>-3242739.9821400456</v>
      </c>
      <c r="BL9" s="10">
        <f ca="1">'Working Capital'!BL$52</f>
        <v>-3434113.1258512628</v>
      </c>
      <c r="BM9" s="10">
        <f ca="1">'Working Capital'!BM$52</f>
        <v>-3635804.0666634417</v>
      </c>
      <c r="BN9" s="10">
        <f ca="1">'Working Capital'!BN$52</f>
        <v>-3849488.1749205496</v>
      </c>
      <c r="BO9" s="10">
        <f ca="1">'Working Capital'!BO$52</f>
        <v>-4076898.043775938</v>
      </c>
      <c r="BP9" s="10">
        <f ca="1">'Working Capital'!BP$52</f>
        <v>-4316750.3456213744</v>
      </c>
      <c r="BQ9" s="10">
        <f ca="1">'Working Capital'!BQ$52</f>
        <v>-4570865.0075237397</v>
      </c>
    </row>
    <row r="10" spans="1:69">
      <c r="E10" s="17" t="str">
        <f xml:space="preserve"> VAT!E$38</f>
        <v xml:space="preserve">VAT paid </v>
      </c>
      <c r="F10" s="17">
        <f xml:space="preserve"> VAT!F$38</f>
        <v>0</v>
      </c>
      <c r="G10" s="17" t="str">
        <f xml:space="preserve"> VAT!G$38</f>
        <v>GBP</v>
      </c>
      <c r="H10" s="44">
        <f ca="1" xml:space="preserve"> VAT!H$38</f>
        <v>-105089708.7190737</v>
      </c>
      <c r="I10" s="17">
        <f xml:space="preserve"> VAT!I$38</f>
        <v>0</v>
      </c>
      <c r="J10" s="10">
        <f ca="1">VAT!J$38</f>
        <v>0</v>
      </c>
      <c r="K10" s="10">
        <f ca="1">VAT!K$38</f>
        <v>0</v>
      </c>
      <c r="L10" s="10">
        <f ca="1">VAT!L$38</f>
        <v>13400</v>
      </c>
      <c r="M10" s="10">
        <f ca="1">VAT!M$38</f>
        <v>0</v>
      </c>
      <c r="N10" s="10">
        <f ca="1">VAT!N$38</f>
        <v>0</v>
      </c>
      <c r="O10" s="10">
        <f ca="1">VAT!O$38</f>
        <v>-97378.428629730886</v>
      </c>
      <c r="P10" s="10">
        <f ca="1">VAT!P$38</f>
        <v>0</v>
      </c>
      <c r="Q10" s="10">
        <f ca="1">VAT!Q$38</f>
        <v>0</v>
      </c>
      <c r="R10" s="10">
        <f ca="1">VAT!R$38</f>
        <v>-631993.11565471347</v>
      </c>
      <c r="S10" s="10">
        <f ca="1">VAT!S$38</f>
        <v>0</v>
      </c>
      <c r="T10" s="10">
        <f ca="1">VAT!T$38</f>
        <v>0</v>
      </c>
      <c r="U10" s="10">
        <f ca="1">VAT!U$38</f>
        <v>-867003.2969292358</v>
      </c>
      <c r="V10" s="10">
        <f ca="1">VAT!V$38</f>
        <v>0</v>
      </c>
      <c r="W10" s="10">
        <f ca="1">VAT!W$38</f>
        <v>0</v>
      </c>
      <c r="X10" s="10">
        <f ca="1">VAT!X$38</f>
        <v>-1461967.2447645178</v>
      </c>
      <c r="Y10" s="10">
        <f ca="1">VAT!Y$38</f>
        <v>0</v>
      </c>
      <c r="Z10" s="10">
        <f ca="1">VAT!Z$38</f>
        <v>0</v>
      </c>
      <c r="AA10" s="10">
        <f ca="1">VAT!AA$38</f>
        <v>-1126177.8940359142</v>
      </c>
      <c r="AB10" s="10">
        <f ca="1">VAT!AB$38</f>
        <v>0</v>
      </c>
      <c r="AC10" s="10">
        <f ca="1">VAT!AC$38</f>
        <v>0</v>
      </c>
      <c r="AD10" s="10">
        <f ca="1">VAT!AD$38</f>
        <v>-477913.42386992206</v>
      </c>
      <c r="AE10" s="10">
        <f ca="1">VAT!AE$38</f>
        <v>0</v>
      </c>
      <c r="AF10" s="10">
        <f ca="1">VAT!AF$38</f>
        <v>0</v>
      </c>
      <c r="AG10" s="10">
        <f ca="1">VAT!AG$38</f>
        <v>-1551824.6839187241</v>
      </c>
      <c r="AH10" s="10">
        <f ca="1">VAT!AH$38</f>
        <v>0</v>
      </c>
      <c r="AI10" s="10">
        <f ca="1">VAT!AI$38</f>
        <v>0</v>
      </c>
      <c r="AJ10" s="10">
        <f ca="1">VAT!AJ$38</f>
        <v>-2821767.2882357761</v>
      </c>
      <c r="AK10" s="10">
        <f ca="1">VAT!AK$38</f>
        <v>0</v>
      </c>
      <c r="AL10" s="10">
        <f ca="1">VAT!AL$38</f>
        <v>0</v>
      </c>
      <c r="AM10" s="10">
        <f ca="1">VAT!AM$38</f>
        <v>-2615976.0760499444</v>
      </c>
      <c r="AN10" s="10">
        <f ca="1">VAT!AN$38</f>
        <v>0</v>
      </c>
      <c r="AO10" s="10">
        <f ca="1">VAT!AO$38</f>
        <v>0</v>
      </c>
      <c r="AP10" s="10">
        <f ca="1">VAT!AP$38</f>
        <v>-1894976.4836217663</v>
      </c>
      <c r="AQ10" s="10">
        <f ca="1">VAT!AQ$38</f>
        <v>0</v>
      </c>
      <c r="AR10" s="10">
        <f ca="1">VAT!AR$38</f>
        <v>0</v>
      </c>
      <c r="AS10" s="10">
        <f ca="1">VAT!AS$38</f>
        <v>-3418867.0913174599</v>
      </c>
      <c r="AT10" s="10">
        <f ca="1">VAT!AT$38</f>
        <v>0</v>
      </c>
      <c r="AU10" s="10">
        <f ca="1">VAT!AU$38</f>
        <v>0</v>
      </c>
      <c r="AV10" s="10">
        <f ca="1">VAT!AV$38</f>
        <v>-5017673.1443326734</v>
      </c>
      <c r="AW10" s="10">
        <f ca="1">VAT!AW$38</f>
        <v>0</v>
      </c>
      <c r="AX10" s="10">
        <f ca="1">VAT!AX$38</f>
        <v>0</v>
      </c>
      <c r="AY10" s="10">
        <f ca="1">VAT!AY$38</f>
        <v>-6495484.829641548</v>
      </c>
      <c r="AZ10" s="10">
        <f ca="1">VAT!AZ$38</f>
        <v>0</v>
      </c>
      <c r="BA10" s="10">
        <f ca="1">VAT!BA$38</f>
        <v>0</v>
      </c>
      <c r="BB10" s="10">
        <f ca="1">VAT!BB$38</f>
        <v>-7576566.7027095417</v>
      </c>
      <c r="BC10" s="10">
        <f ca="1">VAT!BC$38</f>
        <v>0</v>
      </c>
      <c r="BD10" s="10">
        <f ca="1">VAT!BD$38</f>
        <v>0</v>
      </c>
      <c r="BE10" s="10">
        <f ca="1">VAT!BE$38</f>
        <v>-9028703.0388964768</v>
      </c>
      <c r="BF10" s="10">
        <f ca="1">VAT!BF$38</f>
        <v>0</v>
      </c>
      <c r="BG10" s="10">
        <f ca="1">VAT!BG$38</f>
        <v>0</v>
      </c>
      <c r="BH10" s="10">
        <f ca="1">VAT!BH$38</f>
        <v>-11269262.524777869</v>
      </c>
      <c r="BI10" s="10">
        <f ca="1">VAT!BI$38</f>
        <v>0</v>
      </c>
      <c r="BJ10" s="10">
        <f ca="1">VAT!BJ$38</f>
        <v>0</v>
      </c>
      <c r="BK10" s="10">
        <f ca="1">VAT!BK$38</f>
        <v>-13875100.155230857</v>
      </c>
      <c r="BL10" s="10">
        <f ca="1">VAT!BL$38</f>
        <v>0</v>
      </c>
      <c r="BM10" s="10">
        <f ca="1">VAT!BM$38</f>
        <v>0</v>
      </c>
      <c r="BN10" s="10">
        <f ca="1">VAT!BN$38</f>
        <v>-16002485.711395023</v>
      </c>
      <c r="BO10" s="10">
        <f ca="1">VAT!BO$38</f>
        <v>0</v>
      </c>
      <c r="BP10" s="10">
        <f ca="1">VAT!BP$38</f>
        <v>0</v>
      </c>
      <c r="BQ10" s="10">
        <f ca="1">VAT!BQ$38</f>
        <v>-18871987.585062012</v>
      </c>
    </row>
    <row r="11" spans="1:69">
      <c r="E11" s="17" t="str">
        <f xml:space="preserve"> 'Corporation tax'!E$69</f>
        <v xml:space="preserve">Corporation tax paid </v>
      </c>
      <c r="F11" s="17">
        <f xml:space="preserve"> 'Corporation tax'!F$69</f>
        <v>0</v>
      </c>
      <c r="G11" s="17" t="str">
        <f xml:space="preserve"> 'Corporation tax'!G$69</f>
        <v>GBP</v>
      </c>
      <c r="H11" s="44">
        <f ca="1" xml:space="preserve"> 'Corporation tax'!H$69</f>
        <v>-37038885.971339248</v>
      </c>
      <c r="I11" s="17">
        <f xml:space="preserve"> 'Corporation tax'!I$69</f>
        <v>0</v>
      </c>
      <c r="J11" s="10">
        <f>'Corporation tax'!J$69</f>
        <v>0</v>
      </c>
      <c r="K11" s="10">
        <f ca="1">'Corporation tax'!K$69</f>
        <v>0</v>
      </c>
      <c r="L11" s="10">
        <f ca="1">'Corporation tax'!L$69</f>
        <v>0</v>
      </c>
      <c r="M11" s="10">
        <f ca="1">'Corporation tax'!M$69</f>
        <v>0</v>
      </c>
      <c r="N11" s="10">
        <f ca="1">'Corporation tax'!N$69</f>
        <v>0</v>
      </c>
      <c r="O11" s="10">
        <f ca="1">'Corporation tax'!O$69</f>
        <v>0</v>
      </c>
      <c r="P11" s="10">
        <f ca="1">'Corporation tax'!P$69</f>
        <v>0</v>
      </c>
      <c r="Q11" s="10">
        <f ca="1">'Corporation tax'!Q$69</f>
        <v>0</v>
      </c>
      <c r="R11" s="10">
        <f ca="1">'Corporation tax'!R$69</f>
        <v>0</v>
      </c>
      <c r="S11" s="10">
        <f ca="1">'Corporation tax'!S$69</f>
        <v>0</v>
      </c>
      <c r="T11" s="10">
        <f ca="1">'Corporation tax'!T$69</f>
        <v>0</v>
      </c>
      <c r="U11" s="10">
        <f ca="1">'Corporation tax'!U$69</f>
        <v>0</v>
      </c>
      <c r="V11" s="10">
        <f ca="1">'Corporation tax'!V$69</f>
        <v>0</v>
      </c>
      <c r="W11" s="10">
        <f ca="1">'Corporation tax'!W$69</f>
        <v>0</v>
      </c>
      <c r="X11" s="10">
        <f ca="1">'Corporation tax'!X$69</f>
        <v>0</v>
      </c>
      <c r="Y11" s="10">
        <f ca="1">'Corporation tax'!Y$69</f>
        <v>-1155969.6821670486</v>
      </c>
      <c r="Z11" s="10">
        <f ca="1">'Corporation tax'!Z$69</f>
        <v>0</v>
      </c>
      <c r="AA11" s="10">
        <f ca="1">'Corporation tax'!AA$69</f>
        <v>0</v>
      </c>
      <c r="AB11" s="10">
        <f ca="1">'Corporation tax'!AB$69</f>
        <v>0</v>
      </c>
      <c r="AC11" s="10">
        <f ca="1">'Corporation tax'!AC$69</f>
        <v>0</v>
      </c>
      <c r="AD11" s="10">
        <f ca="1">'Corporation tax'!AD$69</f>
        <v>0</v>
      </c>
      <c r="AE11" s="10">
        <f ca="1">'Corporation tax'!AE$69</f>
        <v>0</v>
      </c>
      <c r="AF11" s="10">
        <f ca="1">'Corporation tax'!AF$69</f>
        <v>0</v>
      </c>
      <c r="AG11" s="10">
        <f ca="1">'Corporation tax'!AG$69</f>
        <v>0</v>
      </c>
      <c r="AH11" s="10">
        <f ca="1">'Corporation tax'!AH$69</f>
        <v>0</v>
      </c>
      <c r="AI11" s="10">
        <f ca="1">'Corporation tax'!AI$69</f>
        <v>0</v>
      </c>
      <c r="AJ11" s="10">
        <f ca="1">'Corporation tax'!AJ$69</f>
        <v>0</v>
      </c>
      <c r="AK11" s="10">
        <f ca="1">'Corporation tax'!AK$69</f>
        <v>-4469298.9841670301</v>
      </c>
      <c r="AL11" s="10">
        <f ca="1">'Corporation tax'!AL$69</f>
        <v>0</v>
      </c>
      <c r="AM11" s="10">
        <f ca="1">'Corporation tax'!AM$69</f>
        <v>0</v>
      </c>
      <c r="AN11" s="10">
        <f ca="1">'Corporation tax'!AN$69</f>
        <v>0</v>
      </c>
      <c r="AO11" s="10">
        <f ca="1">'Corporation tax'!AO$69</f>
        <v>0</v>
      </c>
      <c r="AP11" s="10">
        <f ca="1">'Corporation tax'!AP$69</f>
        <v>0</v>
      </c>
      <c r="AQ11" s="10">
        <f ca="1">'Corporation tax'!AQ$69</f>
        <v>0</v>
      </c>
      <c r="AR11" s="10">
        <f ca="1">'Corporation tax'!AR$69</f>
        <v>0</v>
      </c>
      <c r="AS11" s="10">
        <f ca="1">'Corporation tax'!AS$69</f>
        <v>0</v>
      </c>
      <c r="AT11" s="10">
        <f ca="1">'Corporation tax'!AT$69</f>
        <v>0</v>
      </c>
      <c r="AU11" s="10">
        <f ca="1">'Corporation tax'!AU$69</f>
        <v>0</v>
      </c>
      <c r="AV11" s="10">
        <f ca="1">'Corporation tax'!AV$69</f>
        <v>0</v>
      </c>
      <c r="AW11" s="10">
        <f ca="1">'Corporation tax'!AW$69</f>
        <v>-9433606.0379642248</v>
      </c>
      <c r="AX11" s="10">
        <f ca="1">'Corporation tax'!AX$69</f>
        <v>0</v>
      </c>
      <c r="AY11" s="10">
        <f ca="1">'Corporation tax'!AY$69</f>
        <v>0</v>
      </c>
      <c r="AZ11" s="10">
        <f ca="1">'Corporation tax'!AZ$69</f>
        <v>0</v>
      </c>
      <c r="BA11" s="10">
        <f ca="1">'Corporation tax'!BA$69</f>
        <v>0</v>
      </c>
      <c r="BB11" s="10">
        <f ca="1">'Corporation tax'!BB$69</f>
        <v>0</v>
      </c>
      <c r="BC11" s="10">
        <f ca="1">'Corporation tax'!BC$69</f>
        <v>0</v>
      </c>
      <c r="BD11" s="10">
        <f ca="1">'Corporation tax'!BD$69</f>
        <v>0</v>
      </c>
      <c r="BE11" s="10">
        <f ca="1">'Corporation tax'!BE$69</f>
        <v>0</v>
      </c>
      <c r="BF11" s="10">
        <f ca="1">'Corporation tax'!BF$69</f>
        <v>0</v>
      </c>
      <c r="BG11" s="10">
        <f ca="1">'Corporation tax'!BG$69</f>
        <v>0</v>
      </c>
      <c r="BH11" s="10">
        <f ca="1">'Corporation tax'!BH$69</f>
        <v>0</v>
      </c>
      <c r="BI11" s="10">
        <f ca="1">'Corporation tax'!BI$69</f>
        <v>-21980011.267040946</v>
      </c>
      <c r="BJ11" s="10">
        <f ca="1">'Corporation tax'!BJ$69</f>
        <v>0</v>
      </c>
      <c r="BK11" s="10">
        <f ca="1">'Corporation tax'!BK$69</f>
        <v>0</v>
      </c>
      <c r="BL11" s="10">
        <f ca="1">'Corporation tax'!BL$69</f>
        <v>0</v>
      </c>
      <c r="BM11" s="10">
        <f ca="1">'Corporation tax'!BM$69</f>
        <v>0</v>
      </c>
      <c r="BN11" s="10">
        <f ca="1">'Corporation tax'!BN$69</f>
        <v>0</v>
      </c>
      <c r="BO11" s="10">
        <f ca="1">'Corporation tax'!BO$69</f>
        <v>0</v>
      </c>
      <c r="BP11" s="10">
        <f ca="1">'Corporation tax'!BP$69</f>
        <v>0</v>
      </c>
      <c r="BQ11" s="10">
        <f ca="1">'Corporation tax'!BQ$69</f>
        <v>0</v>
      </c>
    </row>
    <row r="12" spans="1:69">
      <c r="E12" s="12" t="s">
        <v>113</v>
      </c>
      <c r="F12" s="30"/>
      <c r="G12" s="12" t="s">
        <v>257</v>
      </c>
      <c r="H12" s="54">
        <f ca="1" xml:space="preserve"> SUM( J12:BQ12 )</f>
        <v>470077336.21187401</v>
      </c>
      <c r="I12" s="30"/>
      <c r="J12" s="12">
        <f t="shared" ref="J12:BQ12" ca="1" si="0" xml:space="preserve"> SUM( J8:J11 )</f>
        <v>-73700</v>
      </c>
      <c r="K12" s="12">
        <f t="shared" ca="1" si="0"/>
        <v>-73700</v>
      </c>
      <c r="L12" s="12">
        <f t="shared" ca="1" si="0"/>
        <v>-60300</v>
      </c>
      <c r="M12" s="12">
        <f t="shared" ca="1" si="0"/>
        <v>-74368.642536480067</v>
      </c>
      <c r="N12" s="12">
        <f t="shared" ca="1" si="0"/>
        <v>841231.3574635199</v>
      </c>
      <c r="O12" s="12">
        <f t="shared" ca="1" si="0"/>
        <v>239852.92883378902</v>
      </c>
      <c r="P12" s="12">
        <f t="shared" ca="1" si="0"/>
        <v>336546.45736916387</v>
      </c>
      <c r="Q12" s="12">
        <f t="shared" ca="1" si="0"/>
        <v>244146.45736916387</v>
      </c>
      <c r="R12" s="12">
        <f t="shared" ca="1" si="0"/>
        <v>1628153.3417144502</v>
      </c>
      <c r="S12" s="12">
        <f t="shared" ca="1" si="0"/>
        <v>1251444.9044262141</v>
      </c>
      <c r="T12" s="12">
        <f t="shared" ca="1" si="0"/>
        <v>747444.90442621405</v>
      </c>
      <c r="U12" s="12">
        <f t="shared" ca="1" si="0"/>
        <v>-1127558.3925030218</v>
      </c>
      <c r="V12" s="12">
        <f t="shared" ca="1" si="0"/>
        <v>4765014.0252030026</v>
      </c>
      <c r="W12" s="12">
        <f t="shared" ca="1" si="0"/>
        <v>-289538.73315946513</v>
      </c>
      <c r="X12" s="12">
        <f t="shared" ca="1" si="0"/>
        <v>3273075.9116698531</v>
      </c>
      <c r="Y12" s="12">
        <f t="shared" ca="1" si="0"/>
        <v>2703847.0244624694</v>
      </c>
      <c r="Z12" s="12">
        <f t="shared" ca="1" si="0"/>
        <v>1526816.4672711091</v>
      </c>
      <c r="AA12" s="12">
        <f t="shared" ca="1" si="0"/>
        <v>3987403.5337576102</v>
      </c>
      <c r="AB12" s="12">
        <f t="shared" ca="1" si="0"/>
        <v>198896.82684492937</v>
      </c>
      <c r="AC12" s="12">
        <f t="shared" ca="1" si="0"/>
        <v>105569.407930688</v>
      </c>
      <c r="AD12" s="12">
        <f t="shared" ca="1" si="0"/>
        <v>1621851.483218204</v>
      </c>
      <c r="AE12" s="12">
        <f t="shared" ca="1" si="0"/>
        <v>1067890.6703479714</v>
      </c>
      <c r="AF12" s="12">
        <f t="shared" ca="1" si="0"/>
        <v>539415.94566986582</v>
      </c>
      <c r="AG12" s="12">
        <f t="shared" ca="1" si="0"/>
        <v>473661.19421008416</v>
      </c>
      <c r="AH12" s="12">
        <f t="shared" ca="1" si="0"/>
        <v>6995670.1566248611</v>
      </c>
      <c r="AI12" s="12">
        <f t="shared" ca="1" si="0"/>
        <v>1926564.6398999251</v>
      </c>
      <c r="AJ12" s="12">
        <f t="shared" ca="1" si="0"/>
        <v>6633961.130851822</v>
      </c>
      <c r="AK12" s="12">
        <f t="shared" ca="1" si="0"/>
        <v>1574798.2141068205</v>
      </c>
      <c r="AL12" s="12">
        <f t="shared" ca="1" si="0"/>
        <v>5122630.7151278798</v>
      </c>
      <c r="AM12" s="12">
        <f t="shared" ca="1" si="0"/>
        <v>4059084.2730054427</v>
      </c>
      <c r="AN12" s="12">
        <f t="shared" ca="1" si="0"/>
        <v>4260874.5489722099</v>
      </c>
      <c r="AO12" s="12">
        <f t="shared" ca="1" si="0"/>
        <v>4063806.4218118279</v>
      </c>
      <c r="AP12" s="12">
        <f t="shared" ca="1" si="0"/>
        <v>2125220.9365049377</v>
      </c>
      <c r="AQ12" s="12">
        <f t="shared" ca="1" si="0"/>
        <v>3973145.0168607868</v>
      </c>
      <c r="AR12" s="12">
        <f t="shared" ca="1" si="0"/>
        <v>6444195.5675045755</v>
      </c>
      <c r="AS12" s="12">
        <f t="shared" ca="1" si="0"/>
        <v>2973468.3411050001</v>
      </c>
      <c r="AT12" s="12">
        <f t="shared" ca="1" si="0"/>
        <v>8844188.8356065191</v>
      </c>
      <c r="AU12" s="12">
        <f t="shared" ca="1" si="0"/>
        <v>8772880.3196304273</v>
      </c>
      <c r="AV12" s="12">
        <f t="shared" ca="1" si="0"/>
        <v>8719658.4343075529</v>
      </c>
      <c r="AW12" s="12">
        <f t="shared" ca="1" si="0"/>
        <v>-817204.96697629802</v>
      </c>
      <c r="AX12" s="12">
        <f t="shared" ca="1" si="0"/>
        <v>13571600.476428872</v>
      </c>
      <c r="AY12" s="12">
        <f t="shared" ca="1" si="0"/>
        <v>6986272.5464722803</v>
      </c>
      <c r="AZ12" s="12">
        <f t="shared" ca="1" si="0"/>
        <v>13385660.912048608</v>
      </c>
      <c r="BA12" s="12">
        <f t="shared" ca="1" si="0"/>
        <v>15804815.441642519</v>
      </c>
      <c r="BB12" s="12">
        <f t="shared" ca="1" si="0"/>
        <v>8121406.6848044237</v>
      </c>
      <c r="BC12" s="12">
        <f t="shared" ca="1" si="0"/>
        <v>15583843.095635004</v>
      </c>
      <c r="BD12" s="12">
        <f t="shared" ca="1" si="0"/>
        <v>17983916.944712285</v>
      </c>
      <c r="BE12" s="12">
        <f t="shared" ca="1" si="0"/>
        <v>8828156.5748646278</v>
      </c>
      <c r="BF12" s="12">
        <f t="shared" ca="1" si="0"/>
        <v>20241322.595373821</v>
      </c>
      <c r="BG12" s="12">
        <f t="shared" ca="1" si="0"/>
        <v>22618705.563421633</v>
      </c>
      <c r="BH12" s="12">
        <f t="shared" ca="1" si="0"/>
        <v>13718345.556663362</v>
      </c>
      <c r="BI12" s="12">
        <f t="shared" ca="1" si="0"/>
        <v>326536.14056720957</v>
      </c>
      <c r="BJ12" s="12">
        <f t="shared" ca="1" si="0"/>
        <v>27176946.218490042</v>
      </c>
      <c r="BK12" s="12">
        <f t="shared" ca="1" si="0"/>
        <v>15642159.862629097</v>
      </c>
      <c r="BL12" s="12">
        <f t="shared" ca="1" si="0"/>
        <v>29325886.874148738</v>
      </c>
      <c r="BM12" s="12">
        <f t="shared" ca="1" si="0"/>
        <v>31644195.93333656</v>
      </c>
      <c r="BN12" s="12">
        <f t="shared" ca="1" si="0"/>
        <v>17948026.113684423</v>
      </c>
      <c r="BO12" s="12">
        <f t="shared" ca="1" si="0"/>
        <v>33723101.956224069</v>
      </c>
      <c r="BP12" s="12">
        <f t="shared" ca="1" si="0"/>
        <v>36003249.654378615</v>
      </c>
      <c r="BQ12" s="12">
        <f t="shared" ca="1" si="0"/>
        <v>21917147.40741425</v>
      </c>
    </row>
    <row r="14" spans="1:69">
      <c r="E14" s="17" t="str">
        <f xml:space="preserve"> 'Working Capital'!E$15</f>
        <v xml:space="preserve">Cash out on Inventory </v>
      </c>
      <c r="F14" s="17">
        <f xml:space="preserve"> 'Working Capital'!F$15</f>
        <v>0</v>
      </c>
      <c r="G14" s="17" t="str">
        <f xml:space="preserve"> 'Working Capital'!G$15</f>
        <v>GBP</v>
      </c>
      <c r="H14" s="44">
        <f ca="1" xml:space="preserve"> 'Working Capital'!H$15</f>
        <v>-50694000</v>
      </c>
      <c r="I14" s="17">
        <f xml:space="preserve"> 'Working Capital'!I$15</f>
        <v>0</v>
      </c>
      <c r="J14" s="10">
        <f ca="1">'Working Capital'!J$15</f>
        <v>0</v>
      </c>
      <c r="K14" s="10">
        <f ca="1">'Working Capital'!K$15</f>
        <v>0</v>
      </c>
      <c r="L14" s="10">
        <f ca="1">'Working Capital'!L$15</f>
        <v>-105000</v>
      </c>
      <c r="M14" s="10">
        <f ca="1">'Working Capital'!M$15</f>
        <v>-105000</v>
      </c>
      <c r="N14" s="10">
        <f ca="1">'Working Capital'!N$15</f>
        <v>-105000</v>
      </c>
      <c r="O14" s="10">
        <f ca="1">'Working Capital'!O$15</f>
        <v>0</v>
      </c>
      <c r="P14" s="10">
        <f ca="1">'Working Capital'!P$15</f>
        <v>-105000</v>
      </c>
      <c r="Q14" s="10">
        <f ca="1">'Working Capital'!Q$15</f>
        <v>0</v>
      </c>
      <c r="R14" s="10">
        <f ca="1">'Working Capital'!R$15</f>
        <v>-398999.99999999994</v>
      </c>
      <c r="S14" s="10">
        <f ca="1">'Working Capital'!S$15</f>
        <v>-293999.99999999994</v>
      </c>
      <c r="T14" s="10">
        <f ca="1">'Working Capital'!T$15</f>
        <v>-293999.99999999994</v>
      </c>
      <c r="U14" s="10">
        <f ca="1">'Working Capital'!U$15</f>
        <v>0</v>
      </c>
      <c r="V14" s="10">
        <f ca="1">'Working Capital'!V$15</f>
        <v>-293999.99999999994</v>
      </c>
      <c r="W14" s="10">
        <f ca="1">'Working Capital'!W$15</f>
        <v>0</v>
      </c>
      <c r="X14" s="10">
        <f ca="1">'Working Capital'!X$15</f>
        <v>-346499.99999999994</v>
      </c>
      <c r="Y14" s="10">
        <f ca="1">'Working Capital'!Y$15</f>
        <v>-52500</v>
      </c>
      <c r="Z14" s="10">
        <f ca="1">'Working Capital'!Z$15</f>
        <v>-52500</v>
      </c>
      <c r="AA14" s="10">
        <f ca="1">'Working Capital'!AA$15</f>
        <v>-105000</v>
      </c>
      <c r="AB14" s="10">
        <f ca="1">'Working Capital'!AB$15</f>
        <v>-52500</v>
      </c>
      <c r="AC14" s="10">
        <f ca="1">'Working Capital'!AC$15</f>
        <v>-105000</v>
      </c>
      <c r="AD14" s="10">
        <f ca="1">'Working Capital'!AD$15</f>
        <v>-199499.99999999997</v>
      </c>
      <c r="AE14" s="10">
        <f ca="1">'Working Capital'!AE$15</f>
        <v>-251999.99999999997</v>
      </c>
      <c r="AF14" s="10">
        <f ca="1">'Working Capital'!AF$15</f>
        <v>-251999.99999999997</v>
      </c>
      <c r="AG14" s="10">
        <f ca="1">'Working Capital'!AG$15</f>
        <v>-398999.99999999994</v>
      </c>
      <c r="AH14" s="10">
        <f ca="1">'Working Capital'!AH$15</f>
        <v>-251999.99999999997</v>
      </c>
      <c r="AI14" s="10">
        <f ca="1">'Working Capital'!AI$15</f>
        <v>-451499.99999999994</v>
      </c>
      <c r="AJ14" s="10">
        <f ca="1">'Working Capital'!AJ$15</f>
        <v>-251999.99999999997</v>
      </c>
      <c r="AK14" s="10">
        <f ca="1">'Working Capital'!AK$15</f>
        <v>-451499.99999999994</v>
      </c>
      <c r="AL14" s="10">
        <f ca="1">'Working Capital'!AL$15</f>
        <v>-451499.99999999994</v>
      </c>
      <c r="AM14" s="10">
        <f ca="1">'Working Capital'!AM$15</f>
        <v>-503999.99999999994</v>
      </c>
      <c r="AN14" s="10">
        <f ca="1">'Working Capital'!AN$15</f>
        <v>-451499.99999999994</v>
      </c>
      <c r="AO14" s="10">
        <f ca="1">'Working Capital'!AO$15</f>
        <v>-651000</v>
      </c>
      <c r="AP14" s="10">
        <f ca="1">'Working Capital'!AP$15</f>
        <v>-556500</v>
      </c>
      <c r="AQ14" s="10">
        <f ca="1">'Working Capital'!AQ$15</f>
        <v>-651000</v>
      </c>
      <c r="AR14" s="10">
        <f ca="1">'Working Capital'!AR$15</f>
        <v>-703500</v>
      </c>
      <c r="AS14" s="10">
        <f ca="1">'Working Capital'!AS$15</f>
        <v>-850499.99999999988</v>
      </c>
      <c r="AT14" s="10">
        <f ca="1">'Working Capital'!AT$15</f>
        <v>-703500</v>
      </c>
      <c r="AU14" s="10">
        <f ca="1">'Working Capital'!AU$15</f>
        <v>-850499.99999999988</v>
      </c>
      <c r="AV14" s="10">
        <f ca="1">'Working Capital'!AV$15</f>
        <v>-1050000</v>
      </c>
      <c r="AW14" s="10">
        <f ca="1">'Working Capital'!AW$15</f>
        <v>-902999.99999999988</v>
      </c>
      <c r="AX14" s="10">
        <f ca="1">'Working Capital'!AX$15</f>
        <v>-1102500</v>
      </c>
      <c r="AY14" s="10">
        <f ca="1">'Working Capital'!AY$15</f>
        <v>-1102500</v>
      </c>
      <c r="AZ14" s="10">
        <f ca="1">'Working Capital'!AZ$15</f>
        <v>-1102500</v>
      </c>
      <c r="BA14" s="10">
        <f ca="1">'Working Capital'!BA$15</f>
        <v>-1155000</v>
      </c>
      <c r="BB14" s="10">
        <f ca="1">'Working Capital'!BB$15</f>
        <v>-1302000</v>
      </c>
      <c r="BC14" s="10">
        <f ca="1">'Working Capital'!BC$15</f>
        <v>-1354500</v>
      </c>
      <c r="BD14" s="10">
        <f ca="1">'Working Capital'!BD$15</f>
        <v>-1501500</v>
      </c>
      <c r="BE14" s="10">
        <f ca="1">'Working Capital'!BE$15</f>
        <v>-1554000</v>
      </c>
      <c r="BF14" s="10">
        <f ca="1">'Working Capital'!BF$15</f>
        <v>-1554000</v>
      </c>
      <c r="BG14" s="10">
        <f ca="1">'Working Capital'!BG$15</f>
        <v>-1753499.9999999998</v>
      </c>
      <c r="BH14" s="10">
        <f ca="1">'Working Capital'!BH$15</f>
        <v>-1805999.9999999998</v>
      </c>
      <c r="BI14" s="10">
        <f ca="1">'Working Capital'!BI$15</f>
        <v>-1953000</v>
      </c>
      <c r="BJ14" s="10">
        <f ca="1">'Working Capital'!BJ$15</f>
        <v>-2005500</v>
      </c>
      <c r="BK14" s="10">
        <f ca="1">'Working Capital'!BK$15</f>
        <v>-2205000</v>
      </c>
      <c r="BL14" s="10">
        <f ca="1">'Working Capital'!BL$15</f>
        <v>-2257500</v>
      </c>
      <c r="BM14" s="10">
        <f ca="1">'Working Capital'!BM$15</f>
        <v>-2404500</v>
      </c>
      <c r="BN14" s="10">
        <f ca="1">'Working Capital'!BN$15</f>
        <v>-2656500</v>
      </c>
      <c r="BO14" s="10">
        <f ca="1">'Working Capital'!BO$15</f>
        <v>-2656500</v>
      </c>
      <c r="BP14" s="10">
        <f ca="1">'Working Capital'!BP$15</f>
        <v>-2908500</v>
      </c>
      <c r="BQ14" s="10">
        <f ca="1">'Working Capital'!BQ$15</f>
        <v>-3108000</v>
      </c>
    </row>
    <row r="15" spans="1:69">
      <c r="E15" s="12" t="s">
        <v>19</v>
      </c>
      <c r="F15" s="30"/>
      <c r="G15" s="12" t="s">
        <v>257</v>
      </c>
      <c r="H15" s="54">
        <f ca="1" xml:space="preserve"> SUM( J15:BQ15 )</f>
        <v>419383336.21187401</v>
      </c>
      <c r="I15" s="30"/>
      <c r="J15" s="12">
        <f t="shared" ref="J15:BQ15" ca="1" si="1" xml:space="preserve"> J12 + J14</f>
        <v>-73700</v>
      </c>
      <c r="K15" s="12">
        <f t="shared" ca="1" si="1"/>
        <v>-73700</v>
      </c>
      <c r="L15" s="12">
        <f t="shared" ca="1" si="1"/>
        <v>-165300</v>
      </c>
      <c r="M15" s="12">
        <f t="shared" ca="1" si="1"/>
        <v>-179368.64253648007</v>
      </c>
      <c r="N15" s="12">
        <f t="shared" ca="1" si="1"/>
        <v>736231.3574635199</v>
      </c>
      <c r="O15" s="12">
        <f t="shared" ca="1" si="1"/>
        <v>239852.92883378902</v>
      </c>
      <c r="P15" s="12">
        <f t="shared" ca="1" si="1"/>
        <v>231546.45736916387</v>
      </c>
      <c r="Q15" s="12">
        <f t="shared" ca="1" si="1"/>
        <v>244146.45736916387</v>
      </c>
      <c r="R15" s="12">
        <f t="shared" ca="1" si="1"/>
        <v>1229153.3417144502</v>
      </c>
      <c r="S15" s="12">
        <f t="shared" ca="1" si="1"/>
        <v>957444.90442621405</v>
      </c>
      <c r="T15" s="12">
        <f t="shared" ca="1" si="1"/>
        <v>453444.90442621411</v>
      </c>
      <c r="U15" s="12">
        <f t="shared" ca="1" si="1"/>
        <v>-1127558.3925030218</v>
      </c>
      <c r="V15" s="12">
        <f t="shared" ca="1" si="1"/>
        <v>4471014.0252030026</v>
      </c>
      <c r="W15" s="12">
        <f t="shared" ca="1" si="1"/>
        <v>-289538.73315946513</v>
      </c>
      <c r="X15" s="12">
        <f t="shared" ca="1" si="1"/>
        <v>2926575.9116698531</v>
      </c>
      <c r="Y15" s="12">
        <f t="shared" ca="1" si="1"/>
        <v>2651347.0244624694</v>
      </c>
      <c r="Z15" s="12">
        <f t="shared" ca="1" si="1"/>
        <v>1474316.4672711091</v>
      </c>
      <c r="AA15" s="12">
        <f t="shared" ca="1" si="1"/>
        <v>3882403.5337576102</v>
      </c>
      <c r="AB15" s="12">
        <f t="shared" ca="1" si="1"/>
        <v>146396.82684492937</v>
      </c>
      <c r="AC15" s="12">
        <f t="shared" ca="1" si="1"/>
        <v>569.40793068800122</v>
      </c>
      <c r="AD15" s="12">
        <f t="shared" ca="1" si="1"/>
        <v>1422351.483218204</v>
      </c>
      <c r="AE15" s="12">
        <f t="shared" ca="1" si="1"/>
        <v>815890.67034797138</v>
      </c>
      <c r="AF15" s="12">
        <f t="shared" ca="1" si="1"/>
        <v>287415.94566986582</v>
      </c>
      <c r="AG15" s="12">
        <f t="shared" ca="1" si="1"/>
        <v>74661.194210084213</v>
      </c>
      <c r="AH15" s="12">
        <f t="shared" ca="1" si="1"/>
        <v>6743670.1566248611</v>
      </c>
      <c r="AI15" s="12">
        <f t="shared" ca="1" si="1"/>
        <v>1475064.6398999251</v>
      </c>
      <c r="AJ15" s="12">
        <f t="shared" ca="1" si="1"/>
        <v>6381961.130851822</v>
      </c>
      <c r="AK15" s="12">
        <f t="shared" ca="1" si="1"/>
        <v>1123298.2141068205</v>
      </c>
      <c r="AL15" s="12">
        <f t="shared" ca="1" si="1"/>
        <v>4671130.7151278798</v>
      </c>
      <c r="AM15" s="12">
        <f t="shared" ca="1" si="1"/>
        <v>3555084.2730054427</v>
      </c>
      <c r="AN15" s="12">
        <f t="shared" ca="1" si="1"/>
        <v>3809374.5489722099</v>
      </c>
      <c r="AO15" s="12">
        <f t="shared" ca="1" si="1"/>
        <v>3412806.4218118279</v>
      </c>
      <c r="AP15" s="12">
        <f t="shared" ca="1" si="1"/>
        <v>1568720.9365049377</v>
      </c>
      <c r="AQ15" s="12">
        <f t="shared" ca="1" si="1"/>
        <v>3322145.0168607868</v>
      </c>
      <c r="AR15" s="12">
        <f t="shared" ca="1" si="1"/>
        <v>5740695.5675045755</v>
      </c>
      <c r="AS15" s="12">
        <f t="shared" ca="1" si="1"/>
        <v>2122968.3411050001</v>
      </c>
      <c r="AT15" s="12">
        <f t="shared" ca="1" si="1"/>
        <v>8140688.8356065191</v>
      </c>
      <c r="AU15" s="12">
        <f t="shared" ca="1" si="1"/>
        <v>7922380.3196304273</v>
      </c>
      <c r="AV15" s="12">
        <f t="shared" ca="1" si="1"/>
        <v>7669658.4343075529</v>
      </c>
      <c r="AW15" s="12">
        <f t="shared" ca="1" si="1"/>
        <v>-1720204.966976298</v>
      </c>
      <c r="AX15" s="12">
        <f t="shared" ca="1" si="1"/>
        <v>12469100.476428872</v>
      </c>
      <c r="AY15" s="12">
        <f t="shared" ca="1" si="1"/>
        <v>5883772.5464722803</v>
      </c>
      <c r="AZ15" s="12">
        <f t="shared" ca="1" si="1"/>
        <v>12283160.912048608</v>
      </c>
      <c r="BA15" s="12">
        <f t="shared" ca="1" si="1"/>
        <v>14649815.441642519</v>
      </c>
      <c r="BB15" s="12">
        <f t="shared" ca="1" si="1"/>
        <v>6819406.6848044237</v>
      </c>
      <c r="BC15" s="12">
        <f t="shared" ca="1" si="1"/>
        <v>14229343.095635004</v>
      </c>
      <c r="BD15" s="12">
        <f t="shared" ca="1" si="1"/>
        <v>16482416.944712285</v>
      </c>
      <c r="BE15" s="12">
        <f t="shared" ca="1" si="1"/>
        <v>7274156.5748646278</v>
      </c>
      <c r="BF15" s="12">
        <f t="shared" ca="1" si="1"/>
        <v>18687322.595373821</v>
      </c>
      <c r="BG15" s="12">
        <f t="shared" ca="1" si="1"/>
        <v>20865205.563421633</v>
      </c>
      <c r="BH15" s="12">
        <f t="shared" ca="1" si="1"/>
        <v>11912345.556663362</v>
      </c>
      <c r="BI15" s="12">
        <f t="shared" ca="1" si="1"/>
        <v>-1626463.8594327904</v>
      </c>
      <c r="BJ15" s="12">
        <f t="shared" ca="1" si="1"/>
        <v>25171446.218490042</v>
      </c>
      <c r="BK15" s="12">
        <f t="shared" ca="1" si="1"/>
        <v>13437159.862629097</v>
      </c>
      <c r="BL15" s="12">
        <f t="shared" ca="1" si="1"/>
        <v>27068386.874148738</v>
      </c>
      <c r="BM15" s="12">
        <f t="shared" ca="1" si="1"/>
        <v>29239695.93333656</v>
      </c>
      <c r="BN15" s="12">
        <f t="shared" ca="1" si="1"/>
        <v>15291526.113684423</v>
      </c>
      <c r="BO15" s="12">
        <f t="shared" ca="1" si="1"/>
        <v>31066601.956224069</v>
      </c>
      <c r="BP15" s="12">
        <f t="shared" ca="1" si="1"/>
        <v>33094749.654378615</v>
      </c>
      <c r="BQ15" s="12">
        <f t="shared" ca="1" si="1"/>
        <v>18809147.40741425</v>
      </c>
    </row>
    <row r="17" spans="5:6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0</v>
      </c>
      <c r="I17" s="17">
        <f xml:space="preserve"> 'Supply Chain finance'!I$22</f>
        <v>0</v>
      </c>
      <c r="J17" s="10">
        <f xml:space="preserve"> 'Supply Chain finance'!J$22</f>
        <v>0</v>
      </c>
      <c r="K17" s="10">
        <f xml:space="preserve"> 'Supply Chain finance'!K$22</f>
        <v>0</v>
      </c>
      <c r="L17" s="10">
        <f xml:space="preserve"> 'Supply Chain finance'!L$22</f>
        <v>0</v>
      </c>
      <c r="M17" s="10">
        <f xml:space="preserve"> 'Supply Chain finance'!M$22</f>
        <v>0</v>
      </c>
      <c r="N17" s="10">
        <f xml:space="preserve"> 'Supply Chain finance'!N$22</f>
        <v>0</v>
      </c>
      <c r="O17" s="10">
        <f xml:space="preserve"> 'Supply Chain finance'!O$22</f>
        <v>0</v>
      </c>
      <c r="P17" s="10">
        <f xml:space="preserve"> 'Supply Chain finance'!P$22</f>
        <v>0</v>
      </c>
      <c r="Q17" s="10">
        <f xml:space="preserve"> 'Supply Chain finance'!Q$22</f>
        <v>0</v>
      </c>
      <c r="R17" s="10">
        <f xml:space="preserve"> 'Supply Chain finance'!R$22</f>
        <v>0</v>
      </c>
      <c r="S17" s="10">
        <f xml:space="preserve"> 'Supply Chain finance'!S$22</f>
        <v>0</v>
      </c>
      <c r="T17" s="10">
        <f xml:space="preserve"> 'Supply Chain finance'!T$22</f>
        <v>0</v>
      </c>
      <c r="U17" s="10">
        <f xml:space="preserve"> 'Supply Chain finance'!U$22</f>
        <v>0</v>
      </c>
      <c r="V17" s="10">
        <f ca="1" xml:space="preserve"> 'Supply Chain finance'!V$22</f>
        <v>0</v>
      </c>
      <c r="W17" s="10">
        <f ca="1" xml:space="preserve"> 'Supply Chain finance'!W$22</f>
        <v>0</v>
      </c>
      <c r="X17" s="10">
        <f ca="1" xml:space="preserve"> 'Supply Chain finance'!X$22</f>
        <v>0</v>
      </c>
      <c r="Y17" s="10">
        <f ca="1" xml:space="preserve"> 'Supply Chain finance'!Y$22</f>
        <v>0</v>
      </c>
      <c r="Z17" s="10">
        <f ca="1" xml:space="preserve"> 'Supply Chain finance'!Z$22</f>
        <v>0</v>
      </c>
      <c r="AA17" s="10">
        <f ca="1" xml:space="preserve"> 'Supply Chain finance'!AA$22</f>
        <v>0</v>
      </c>
      <c r="AB17" s="10">
        <f ca="1" xml:space="preserve"> 'Supply Chain finance'!AB$22</f>
        <v>0</v>
      </c>
      <c r="AC17" s="10">
        <f ca="1" xml:space="preserve"> 'Supply Chain finance'!AC$22</f>
        <v>0</v>
      </c>
      <c r="AD17" s="10">
        <f ca="1" xml:space="preserve"> 'Supply Chain finance'!AD$22</f>
        <v>0</v>
      </c>
      <c r="AE17" s="10">
        <f ca="1" xml:space="preserve"> 'Supply Chain finance'!AE$22</f>
        <v>0</v>
      </c>
      <c r="AF17" s="10">
        <f ca="1" xml:space="preserve"> 'Supply Chain finance'!AF$22</f>
        <v>0</v>
      </c>
      <c r="AG17" s="10">
        <f ca="1" xml:space="preserve"> 'Supply Chain finance'!AG$22</f>
        <v>0</v>
      </c>
      <c r="AH17" s="10">
        <f ca="1" xml:space="preserve"> 'Supply Chain finance'!AH$22</f>
        <v>0</v>
      </c>
      <c r="AI17" s="10">
        <f ca="1" xml:space="preserve"> 'Supply Chain finance'!AI$22</f>
        <v>0</v>
      </c>
      <c r="AJ17" s="10">
        <f ca="1" xml:space="preserve"> 'Supply Chain finance'!AJ$22</f>
        <v>0</v>
      </c>
      <c r="AK17" s="10">
        <f ca="1" xml:space="preserve"> 'Supply Chain finance'!AK$22</f>
        <v>0</v>
      </c>
      <c r="AL17" s="10">
        <f ca="1" xml:space="preserve"> 'Supply Chain finance'!AL$22</f>
        <v>0</v>
      </c>
      <c r="AM17" s="10">
        <f ca="1" xml:space="preserve"> 'Supply Chain finance'!AM$22</f>
        <v>0</v>
      </c>
      <c r="AN17" s="10">
        <f ca="1" xml:space="preserve"> 'Supply Chain finance'!AN$22</f>
        <v>0</v>
      </c>
      <c r="AO17" s="10">
        <f ca="1" xml:space="preserve"> 'Supply Chain finance'!AO$22</f>
        <v>0</v>
      </c>
      <c r="AP17" s="10">
        <f ca="1" xml:space="preserve"> 'Supply Chain finance'!AP$22</f>
        <v>0</v>
      </c>
      <c r="AQ17" s="10">
        <f ca="1" xml:space="preserve"> 'Supply Chain finance'!AQ$22</f>
        <v>0</v>
      </c>
      <c r="AR17" s="10">
        <f ca="1" xml:space="preserve"> 'Supply Chain finance'!AR$22</f>
        <v>0</v>
      </c>
      <c r="AS17" s="10">
        <f ca="1" xml:space="preserve"> 'Supply Chain finance'!AS$22</f>
        <v>0</v>
      </c>
      <c r="AT17" s="10">
        <f ca="1" xml:space="preserve"> 'Supply Chain finance'!AT$22</f>
        <v>0</v>
      </c>
      <c r="AU17" s="10">
        <f ca="1" xml:space="preserve"> 'Supply Chain finance'!AU$22</f>
        <v>0</v>
      </c>
      <c r="AV17" s="10">
        <f ca="1" xml:space="preserve"> 'Supply Chain finance'!AV$22</f>
        <v>0</v>
      </c>
      <c r="AW17" s="10">
        <f ca="1" xml:space="preserve"> 'Supply Chain finance'!AW$22</f>
        <v>0</v>
      </c>
      <c r="AX17" s="10">
        <f ca="1" xml:space="preserve"> 'Supply Chain finance'!AX$22</f>
        <v>0</v>
      </c>
      <c r="AY17" s="10">
        <f ca="1" xml:space="preserve"> 'Supply Chain finance'!AY$22</f>
        <v>0</v>
      </c>
      <c r="AZ17" s="10">
        <f ca="1" xml:space="preserve"> 'Supply Chain finance'!AZ$22</f>
        <v>0</v>
      </c>
      <c r="BA17" s="10">
        <f ca="1" xml:space="preserve"> 'Supply Chain finance'!BA$22</f>
        <v>0</v>
      </c>
      <c r="BB17" s="10">
        <f ca="1" xml:space="preserve"> 'Supply Chain finance'!BB$22</f>
        <v>0</v>
      </c>
      <c r="BC17" s="10">
        <f ca="1" xml:space="preserve"> 'Supply Chain finance'!BC$22</f>
        <v>0</v>
      </c>
      <c r="BD17" s="10">
        <f ca="1" xml:space="preserve"> 'Supply Chain finance'!BD$22</f>
        <v>0</v>
      </c>
      <c r="BE17" s="10">
        <f ca="1" xml:space="preserve"> 'Supply Chain finance'!BE$22</f>
        <v>0</v>
      </c>
      <c r="BF17" s="10">
        <f ca="1" xml:space="preserve"> 'Supply Chain finance'!BF$22</f>
        <v>0</v>
      </c>
      <c r="BG17" s="10">
        <f ca="1" xml:space="preserve"> 'Supply Chain finance'!BG$22</f>
        <v>0</v>
      </c>
      <c r="BH17" s="10">
        <f ca="1" xml:space="preserve"> 'Supply Chain finance'!BH$22</f>
        <v>0</v>
      </c>
      <c r="BI17" s="10">
        <f ca="1" xml:space="preserve"> 'Supply Chain finance'!BI$22</f>
        <v>0</v>
      </c>
      <c r="BJ17" s="10">
        <f ca="1" xml:space="preserve"> 'Supply Chain finance'!BJ$22</f>
        <v>0</v>
      </c>
      <c r="BK17" s="10">
        <f ca="1" xml:space="preserve"> 'Supply Chain finance'!BK$22</f>
        <v>0</v>
      </c>
      <c r="BL17" s="10">
        <f ca="1" xml:space="preserve"> 'Supply Chain finance'!BL$22</f>
        <v>0</v>
      </c>
      <c r="BM17" s="10">
        <f ca="1" xml:space="preserve"> 'Supply Chain finance'!BM$22</f>
        <v>0</v>
      </c>
      <c r="BN17" s="10">
        <f ca="1" xml:space="preserve"> 'Supply Chain finance'!BN$22</f>
        <v>0</v>
      </c>
      <c r="BO17" s="10">
        <f ca="1" xml:space="preserve"> 'Supply Chain finance'!BO$22</f>
        <v>0</v>
      </c>
      <c r="BP17" s="10">
        <f ca="1" xml:space="preserve"> 'Supply Chain finance'!BP$22</f>
        <v>0</v>
      </c>
      <c r="BQ17" s="10">
        <f ca="1" xml:space="preserve"> 'Supply Chain finance'!BQ$22</f>
        <v>0</v>
      </c>
    </row>
    <row r="18" spans="5:6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0</v>
      </c>
      <c r="I18" s="17">
        <f xml:space="preserve"> 'Supply Chain finance'!I$29</f>
        <v>0</v>
      </c>
      <c r="J18" s="10">
        <f ca="1">'Supply Chain finance'!J$29</f>
        <v>0</v>
      </c>
      <c r="K18" s="10">
        <f ca="1">'Supply Chain finance'!K$29</f>
        <v>0</v>
      </c>
      <c r="L18" s="10">
        <f ca="1">'Supply Chain finance'!L$29</f>
        <v>0</v>
      </c>
      <c r="M18" s="10">
        <f ca="1">'Supply Chain finance'!M$29</f>
        <v>0</v>
      </c>
      <c r="N18" s="10">
        <f ca="1">'Supply Chain finance'!N$29</f>
        <v>0</v>
      </c>
      <c r="O18" s="10">
        <f ca="1">'Supply Chain finance'!O$29</f>
        <v>0</v>
      </c>
      <c r="P18" s="10">
        <f ca="1">'Supply Chain finance'!P$29</f>
        <v>0</v>
      </c>
      <c r="Q18" s="10">
        <f ca="1">'Supply Chain finance'!Q$29</f>
        <v>0</v>
      </c>
      <c r="R18" s="10">
        <f ca="1">'Supply Chain finance'!R$29</f>
        <v>0</v>
      </c>
      <c r="S18" s="10">
        <f ca="1">'Supply Chain finance'!S$29</f>
        <v>0</v>
      </c>
      <c r="T18" s="10">
        <f ca="1">'Supply Chain finance'!T$29</f>
        <v>0</v>
      </c>
      <c r="U18" s="10">
        <f ca="1">'Supply Chain finance'!U$29</f>
        <v>0</v>
      </c>
      <c r="V18" s="10">
        <f ca="1">'Supply Chain finance'!V$29</f>
        <v>0</v>
      </c>
      <c r="W18" s="10">
        <f ca="1">'Supply Chain finance'!W$29</f>
        <v>0</v>
      </c>
      <c r="X18" s="10">
        <f ca="1">'Supply Chain finance'!X$29</f>
        <v>0</v>
      </c>
      <c r="Y18" s="10">
        <f ca="1">'Supply Chain finance'!Y$29</f>
        <v>0</v>
      </c>
      <c r="Z18" s="10">
        <f ca="1">'Supply Chain finance'!Z$29</f>
        <v>0</v>
      </c>
      <c r="AA18" s="10">
        <f ca="1">'Supply Chain finance'!AA$29</f>
        <v>0</v>
      </c>
      <c r="AB18" s="10">
        <f ca="1">'Supply Chain finance'!AB$29</f>
        <v>0</v>
      </c>
      <c r="AC18" s="10">
        <f ca="1">'Supply Chain finance'!AC$29</f>
        <v>0</v>
      </c>
      <c r="AD18" s="10">
        <f ca="1">'Supply Chain finance'!AD$29</f>
        <v>0</v>
      </c>
      <c r="AE18" s="10">
        <f ca="1">'Supply Chain finance'!AE$29</f>
        <v>0</v>
      </c>
      <c r="AF18" s="10">
        <f ca="1">'Supply Chain finance'!AF$29</f>
        <v>0</v>
      </c>
      <c r="AG18" s="10">
        <f ca="1">'Supply Chain finance'!AG$29</f>
        <v>0</v>
      </c>
      <c r="AH18" s="10">
        <f ca="1">'Supply Chain finance'!AH$29</f>
        <v>0</v>
      </c>
      <c r="AI18" s="10">
        <f ca="1">'Supply Chain finance'!AI$29</f>
        <v>0</v>
      </c>
      <c r="AJ18" s="10">
        <f ca="1">'Supply Chain finance'!AJ$29</f>
        <v>0</v>
      </c>
      <c r="AK18" s="10">
        <f ca="1">'Supply Chain finance'!AK$29</f>
        <v>0</v>
      </c>
      <c r="AL18" s="10">
        <f ca="1">'Supply Chain finance'!AL$29</f>
        <v>0</v>
      </c>
      <c r="AM18" s="10">
        <f ca="1">'Supply Chain finance'!AM$29</f>
        <v>0</v>
      </c>
      <c r="AN18" s="10">
        <f ca="1">'Supply Chain finance'!AN$29</f>
        <v>0</v>
      </c>
      <c r="AO18" s="10">
        <f ca="1">'Supply Chain finance'!AO$29</f>
        <v>0</v>
      </c>
      <c r="AP18" s="10">
        <f ca="1">'Supply Chain finance'!AP$29</f>
        <v>0</v>
      </c>
      <c r="AQ18" s="10">
        <f ca="1">'Supply Chain finance'!AQ$29</f>
        <v>0</v>
      </c>
      <c r="AR18" s="10">
        <f ca="1">'Supply Chain finance'!AR$29</f>
        <v>0</v>
      </c>
      <c r="AS18" s="10">
        <f ca="1">'Supply Chain finance'!AS$29</f>
        <v>0</v>
      </c>
      <c r="AT18" s="10">
        <f ca="1">'Supply Chain finance'!AT$29</f>
        <v>0</v>
      </c>
      <c r="AU18" s="10">
        <f ca="1">'Supply Chain finance'!AU$29</f>
        <v>0</v>
      </c>
      <c r="AV18" s="10">
        <f ca="1">'Supply Chain finance'!AV$29</f>
        <v>0</v>
      </c>
      <c r="AW18" s="10">
        <f ca="1">'Supply Chain finance'!AW$29</f>
        <v>0</v>
      </c>
      <c r="AX18" s="10">
        <f ca="1">'Supply Chain finance'!AX$29</f>
        <v>0</v>
      </c>
      <c r="AY18" s="10">
        <f ca="1">'Supply Chain finance'!AY$29</f>
        <v>0</v>
      </c>
      <c r="AZ18" s="10">
        <f ca="1">'Supply Chain finance'!AZ$29</f>
        <v>0</v>
      </c>
      <c r="BA18" s="10">
        <f ca="1">'Supply Chain finance'!BA$29</f>
        <v>0</v>
      </c>
      <c r="BB18" s="10">
        <f ca="1">'Supply Chain finance'!BB$29</f>
        <v>0</v>
      </c>
      <c r="BC18" s="10">
        <f ca="1">'Supply Chain finance'!BC$29</f>
        <v>0</v>
      </c>
      <c r="BD18" s="10">
        <f ca="1">'Supply Chain finance'!BD$29</f>
        <v>0</v>
      </c>
      <c r="BE18" s="10">
        <f ca="1">'Supply Chain finance'!BE$29</f>
        <v>0</v>
      </c>
      <c r="BF18" s="10">
        <f ca="1">'Supply Chain finance'!BF$29</f>
        <v>0</v>
      </c>
      <c r="BG18" s="10">
        <f ca="1">'Supply Chain finance'!BG$29</f>
        <v>0</v>
      </c>
      <c r="BH18" s="10">
        <f ca="1">'Supply Chain finance'!BH$29</f>
        <v>0</v>
      </c>
      <c r="BI18" s="10">
        <f ca="1">'Supply Chain finance'!BI$29</f>
        <v>0</v>
      </c>
      <c r="BJ18" s="10">
        <f ca="1">'Supply Chain finance'!BJ$29</f>
        <v>0</v>
      </c>
      <c r="BK18" s="10">
        <f ca="1">'Supply Chain finance'!BK$29</f>
        <v>0</v>
      </c>
      <c r="BL18" s="10">
        <f ca="1">'Supply Chain finance'!BL$29</f>
        <v>0</v>
      </c>
      <c r="BM18" s="10">
        <f ca="1">'Supply Chain finance'!BM$29</f>
        <v>0</v>
      </c>
      <c r="BN18" s="10">
        <f ca="1">'Supply Chain finance'!BN$29</f>
        <v>0</v>
      </c>
      <c r="BO18" s="10">
        <f ca="1">'Supply Chain finance'!BO$29</f>
        <v>0</v>
      </c>
      <c r="BP18" s="10">
        <f ca="1">'Supply Chain finance'!BP$29</f>
        <v>0</v>
      </c>
      <c r="BQ18" s="10">
        <f ca="1">'Supply Chain finance'!BQ$29</f>
        <v>0</v>
      </c>
    </row>
    <row r="19" spans="5:69">
      <c r="E19" s="17" t="str">
        <f xml:space="preserve"> 'Invoice finance'!E$21</f>
        <v>Invoice finance drawdown</v>
      </c>
      <c r="F19" s="17">
        <f xml:space="preserve"> 'Invoice finance'!F$21</f>
        <v>0</v>
      </c>
      <c r="G19" s="17" t="str">
        <f xml:space="preserve"> 'Invoice finance'!G$21</f>
        <v>GBP</v>
      </c>
      <c r="H19" s="44">
        <f ca="1" xml:space="preserve"> 'Invoice finance'!H$21</f>
        <v>0</v>
      </c>
      <c r="I19" s="17">
        <f xml:space="preserve"> 'Invoice finance'!I$21</f>
        <v>0</v>
      </c>
      <c r="J19" s="10">
        <f ca="1" xml:space="preserve"> 'Invoice finance'!J$21</f>
        <v>0</v>
      </c>
      <c r="K19" s="10">
        <f ca="1" xml:space="preserve"> 'Invoice finance'!K$21</f>
        <v>0</v>
      </c>
      <c r="L19" s="10">
        <f ca="1" xml:space="preserve"> 'Invoice finance'!L$21</f>
        <v>0</v>
      </c>
      <c r="M19" s="10">
        <f ca="1" xml:space="preserve"> 'Invoice finance'!M$21</f>
        <v>0</v>
      </c>
      <c r="N19" s="10">
        <f ca="1" xml:space="preserve"> 'Invoice finance'!N$21</f>
        <v>0</v>
      </c>
      <c r="O19" s="10">
        <f ca="1" xml:space="preserve"> 'Invoice finance'!O$21</f>
        <v>0</v>
      </c>
      <c r="P19" s="10">
        <f ca="1" xml:space="preserve"> 'Invoice finance'!P$21</f>
        <v>0</v>
      </c>
      <c r="Q19" s="10">
        <f ca="1" xml:space="preserve"> 'Invoice finance'!Q$21</f>
        <v>0</v>
      </c>
      <c r="R19" s="10">
        <f ca="1" xml:space="preserve"> 'Invoice finance'!R$21</f>
        <v>0</v>
      </c>
      <c r="S19" s="10">
        <f ca="1" xml:space="preserve"> 'Invoice finance'!S$21</f>
        <v>0</v>
      </c>
      <c r="T19" s="10">
        <f ca="1" xml:space="preserve"> 'Invoice finance'!T$21</f>
        <v>0</v>
      </c>
      <c r="U19" s="10">
        <f ca="1" xml:space="preserve"> 'Invoice finance'!U$21</f>
        <v>0</v>
      </c>
      <c r="V19" s="10">
        <f ca="1" xml:space="preserve"> 'Invoice finance'!V$21</f>
        <v>0</v>
      </c>
      <c r="W19" s="10">
        <f ca="1" xml:space="preserve"> 'Invoice finance'!W$21</f>
        <v>0</v>
      </c>
      <c r="X19" s="10">
        <f ca="1" xml:space="preserve"> 'Invoice finance'!X$21</f>
        <v>0</v>
      </c>
      <c r="Y19" s="10">
        <f ca="1" xml:space="preserve"> 'Invoice finance'!Y$21</f>
        <v>0</v>
      </c>
      <c r="Z19" s="10">
        <f ca="1" xml:space="preserve"> 'Invoice finance'!Z$21</f>
        <v>0</v>
      </c>
      <c r="AA19" s="10">
        <f ca="1" xml:space="preserve"> 'Invoice finance'!AA$21</f>
        <v>0</v>
      </c>
      <c r="AB19" s="10">
        <f ca="1" xml:space="preserve"> 'Invoice finance'!AB$21</f>
        <v>0</v>
      </c>
      <c r="AC19" s="10">
        <f ca="1" xml:space="preserve"> 'Invoice finance'!AC$21</f>
        <v>0</v>
      </c>
      <c r="AD19" s="10">
        <f ca="1" xml:space="preserve"> 'Invoice finance'!AD$21</f>
        <v>0</v>
      </c>
      <c r="AE19" s="10">
        <f ca="1" xml:space="preserve"> 'Invoice finance'!AE$21</f>
        <v>0</v>
      </c>
      <c r="AF19" s="10">
        <f ca="1" xml:space="preserve"> 'Invoice finance'!AF$21</f>
        <v>0</v>
      </c>
      <c r="AG19" s="10">
        <f ca="1" xml:space="preserve"> 'Invoice finance'!AG$21</f>
        <v>0</v>
      </c>
      <c r="AH19" s="10">
        <f ca="1" xml:space="preserve"> 'Invoice finance'!AH$21</f>
        <v>0</v>
      </c>
      <c r="AI19" s="10">
        <f ca="1" xml:space="preserve"> 'Invoice finance'!AI$21</f>
        <v>0</v>
      </c>
      <c r="AJ19" s="10">
        <f ca="1" xml:space="preserve"> 'Invoice finance'!AJ$21</f>
        <v>0</v>
      </c>
      <c r="AK19" s="10">
        <f ca="1" xml:space="preserve"> 'Invoice finance'!AK$21</f>
        <v>0</v>
      </c>
      <c r="AL19" s="10">
        <f ca="1" xml:space="preserve"> 'Invoice finance'!AL$21</f>
        <v>0</v>
      </c>
      <c r="AM19" s="10">
        <f ca="1" xml:space="preserve"> 'Invoice finance'!AM$21</f>
        <v>0</v>
      </c>
      <c r="AN19" s="10">
        <f ca="1" xml:space="preserve"> 'Invoice finance'!AN$21</f>
        <v>0</v>
      </c>
      <c r="AO19" s="10">
        <f ca="1" xml:space="preserve"> 'Invoice finance'!AO$21</f>
        <v>0</v>
      </c>
      <c r="AP19" s="10">
        <f ca="1" xml:space="preserve"> 'Invoice finance'!AP$21</f>
        <v>0</v>
      </c>
      <c r="AQ19" s="10">
        <f ca="1" xml:space="preserve"> 'Invoice finance'!AQ$21</f>
        <v>0</v>
      </c>
      <c r="AR19" s="10">
        <f ca="1" xml:space="preserve"> 'Invoice finance'!AR$21</f>
        <v>0</v>
      </c>
      <c r="AS19" s="10">
        <f ca="1" xml:space="preserve"> 'Invoice finance'!AS$21</f>
        <v>0</v>
      </c>
      <c r="AT19" s="10">
        <f ca="1" xml:space="preserve"> 'Invoice finance'!AT$21</f>
        <v>0</v>
      </c>
      <c r="AU19" s="10">
        <f ca="1" xml:space="preserve"> 'Invoice finance'!AU$21</f>
        <v>0</v>
      </c>
      <c r="AV19" s="10">
        <f ca="1" xml:space="preserve"> 'Invoice finance'!AV$21</f>
        <v>0</v>
      </c>
      <c r="AW19" s="10">
        <f ca="1" xml:space="preserve"> 'Invoice finance'!AW$21</f>
        <v>0</v>
      </c>
      <c r="AX19" s="10">
        <f ca="1" xml:space="preserve"> 'Invoice finance'!AX$21</f>
        <v>0</v>
      </c>
      <c r="AY19" s="10">
        <f ca="1" xml:space="preserve"> 'Invoice finance'!AY$21</f>
        <v>0</v>
      </c>
      <c r="AZ19" s="10">
        <f ca="1" xml:space="preserve"> 'Invoice finance'!AZ$21</f>
        <v>0</v>
      </c>
      <c r="BA19" s="10">
        <f ca="1" xml:space="preserve"> 'Invoice finance'!BA$21</f>
        <v>0</v>
      </c>
      <c r="BB19" s="10">
        <f ca="1" xml:space="preserve"> 'Invoice finance'!BB$21</f>
        <v>0</v>
      </c>
      <c r="BC19" s="10">
        <f ca="1" xml:space="preserve"> 'Invoice finance'!BC$21</f>
        <v>0</v>
      </c>
      <c r="BD19" s="10">
        <f ca="1" xml:space="preserve"> 'Invoice finance'!BD$21</f>
        <v>0</v>
      </c>
      <c r="BE19" s="10">
        <f ca="1" xml:space="preserve"> 'Invoice finance'!BE$21</f>
        <v>0</v>
      </c>
      <c r="BF19" s="10">
        <f ca="1" xml:space="preserve"> 'Invoice finance'!BF$21</f>
        <v>0</v>
      </c>
      <c r="BG19" s="10">
        <f ca="1" xml:space="preserve"> 'Invoice finance'!BG$21</f>
        <v>0</v>
      </c>
      <c r="BH19" s="10">
        <f ca="1" xml:space="preserve"> 'Invoice finance'!BH$21</f>
        <v>0</v>
      </c>
      <c r="BI19" s="10">
        <f ca="1" xml:space="preserve"> 'Invoice finance'!BI$21</f>
        <v>0</v>
      </c>
      <c r="BJ19" s="10">
        <f ca="1" xml:space="preserve"> 'Invoice finance'!BJ$21</f>
        <v>0</v>
      </c>
      <c r="BK19" s="10">
        <f ca="1" xml:space="preserve"> 'Invoice finance'!BK$21</f>
        <v>0</v>
      </c>
      <c r="BL19" s="10">
        <f ca="1" xml:space="preserve"> 'Invoice finance'!BL$21</f>
        <v>0</v>
      </c>
      <c r="BM19" s="10">
        <f ca="1" xml:space="preserve"> 'Invoice finance'!BM$21</f>
        <v>0</v>
      </c>
      <c r="BN19" s="10">
        <f ca="1" xml:space="preserve"> 'Invoice finance'!BN$21</f>
        <v>0</v>
      </c>
      <c r="BO19" s="10">
        <f ca="1" xml:space="preserve"> 'Invoice finance'!BO$21</f>
        <v>0</v>
      </c>
      <c r="BP19" s="10">
        <f ca="1" xml:space="preserve"> 'Invoice finance'!BP$21</f>
        <v>0</v>
      </c>
      <c r="BQ19" s="10">
        <f ca="1" xml:space="preserve"> 'Invoice finance'!BQ$21</f>
        <v>0</v>
      </c>
    </row>
    <row r="20" spans="5:6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0</v>
      </c>
      <c r="I20" s="17">
        <f xml:space="preserve"> 'Invoice finance'!I$28</f>
        <v>0</v>
      </c>
      <c r="J20" s="10">
        <f ca="1">'Invoice finance'!J$28</f>
        <v>0</v>
      </c>
      <c r="K20" s="10">
        <f ca="1">'Invoice finance'!K$28</f>
        <v>0</v>
      </c>
      <c r="L20" s="10">
        <f ca="1">'Invoice finance'!L$28</f>
        <v>0</v>
      </c>
      <c r="M20" s="10">
        <f ca="1">'Invoice finance'!M$28</f>
        <v>0</v>
      </c>
      <c r="N20" s="10">
        <f ca="1">'Invoice finance'!N$28</f>
        <v>0</v>
      </c>
      <c r="O20" s="10">
        <f ca="1">'Invoice finance'!O$28</f>
        <v>0</v>
      </c>
      <c r="P20" s="10">
        <f ca="1">'Invoice finance'!P$28</f>
        <v>0</v>
      </c>
      <c r="Q20" s="10">
        <f ca="1">'Invoice finance'!Q$28</f>
        <v>0</v>
      </c>
      <c r="R20" s="10">
        <f ca="1">'Invoice finance'!R$28</f>
        <v>0</v>
      </c>
      <c r="S20" s="10">
        <f ca="1">'Invoice finance'!S$28</f>
        <v>0</v>
      </c>
      <c r="T20" s="10">
        <f ca="1">'Invoice finance'!T$28</f>
        <v>0</v>
      </c>
      <c r="U20" s="10">
        <f ca="1">'Invoice finance'!U$28</f>
        <v>0</v>
      </c>
      <c r="V20" s="10">
        <f ca="1">'Invoice finance'!V$28</f>
        <v>0</v>
      </c>
      <c r="W20" s="10">
        <f ca="1">'Invoice finance'!W$28</f>
        <v>0</v>
      </c>
      <c r="X20" s="10">
        <f ca="1">'Invoice finance'!X$28</f>
        <v>0</v>
      </c>
      <c r="Y20" s="10">
        <f ca="1">'Invoice finance'!Y$28</f>
        <v>0</v>
      </c>
      <c r="Z20" s="10">
        <f ca="1">'Invoice finance'!Z$28</f>
        <v>0</v>
      </c>
      <c r="AA20" s="10">
        <f ca="1">'Invoice finance'!AA$28</f>
        <v>0</v>
      </c>
      <c r="AB20" s="10">
        <f ca="1">'Invoice finance'!AB$28</f>
        <v>0</v>
      </c>
      <c r="AC20" s="10">
        <f ca="1">'Invoice finance'!AC$28</f>
        <v>0</v>
      </c>
      <c r="AD20" s="10">
        <f ca="1">'Invoice finance'!AD$28</f>
        <v>0</v>
      </c>
      <c r="AE20" s="10">
        <f ca="1">'Invoice finance'!AE$28</f>
        <v>0</v>
      </c>
      <c r="AF20" s="10">
        <f ca="1">'Invoice finance'!AF$28</f>
        <v>0</v>
      </c>
      <c r="AG20" s="10">
        <f ca="1">'Invoice finance'!AG$28</f>
        <v>0</v>
      </c>
      <c r="AH20" s="10">
        <f ca="1">'Invoice finance'!AH$28</f>
        <v>0</v>
      </c>
      <c r="AI20" s="10">
        <f ca="1">'Invoice finance'!AI$28</f>
        <v>0</v>
      </c>
      <c r="AJ20" s="10">
        <f ca="1">'Invoice finance'!AJ$28</f>
        <v>0</v>
      </c>
      <c r="AK20" s="10">
        <f ca="1">'Invoice finance'!AK$28</f>
        <v>0</v>
      </c>
      <c r="AL20" s="10">
        <f ca="1">'Invoice finance'!AL$28</f>
        <v>0</v>
      </c>
      <c r="AM20" s="10">
        <f ca="1">'Invoice finance'!AM$28</f>
        <v>0</v>
      </c>
      <c r="AN20" s="10">
        <f ca="1">'Invoice finance'!AN$28</f>
        <v>0</v>
      </c>
      <c r="AO20" s="10">
        <f ca="1">'Invoice finance'!AO$28</f>
        <v>0</v>
      </c>
      <c r="AP20" s="10">
        <f ca="1">'Invoice finance'!AP$28</f>
        <v>0</v>
      </c>
      <c r="AQ20" s="10">
        <f ca="1">'Invoice finance'!AQ$28</f>
        <v>0</v>
      </c>
      <c r="AR20" s="10">
        <f ca="1">'Invoice finance'!AR$28</f>
        <v>0</v>
      </c>
      <c r="AS20" s="10">
        <f ca="1">'Invoice finance'!AS$28</f>
        <v>0</v>
      </c>
      <c r="AT20" s="10">
        <f ca="1">'Invoice finance'!AT$28</f>
        <v>0</v>
      </c>
      <c r="AU20" s="10">
        <f ca="1">'Invoice finance'!AU$28</f>
        <v>0</v>
      </c>
      <c r="AV20" s="10">
        <f ca="1">'Invoice finance'!AV$28</f>
        <v>0</v>
      </c>
      <c r="AW20" s="10">
        <f ca="1">'Invoice finance'!AW$28</f>
        <v>0</v>
      </c>
      <c r="AX20" s="10">
        <f ca="1">'Invoice finance'!AX$28</f>
        <v>0</v>
      </c>
      <c r="AY20" s="10">
        <f ca="1">'Invoice finance'!AY$28</f>
        <v>0</v>
      </c>
      <c r="AZ20" s="10">
        <f ca="1">'Invoice finance'!AZ$28</f>
        <v>0</v>
      </c>
      <c r="BA20" s="10">
        <f ca="1">'Invoice finance'!BA$28</f>
        <v>0</v>
      </c>
      <c r="BB20" s="10">
        <f ca="1">'Invoice finance'!BB$28</f>
        <v>0</v>
      </c>
      <c r="BC20" s="10">
        <f ca="1">'Invoice finance'!BC$28</f>
        <v>0</v>
      </c>
      <c r="BD20" s="10">
        <f ca="1">'Invoice finance'!BD$28</f>
        <v>0</v>
      </c>
      <c r="BE20" s="10">
        <f ca="1">'Invoice finance'!BE$28</f>
        <v>0</v>
      </c>
      <c r="BF20" s="10">
        <f ca="1">'Invoice finance'!BF$28</f>
        <v>0</v>
      </c>
      <c r="BG20" s="10">
        <f ca="1">'Invoice finance'!BG$28</f>
        <v>0</v>
      </c>
      <c r="BH20" s="10">
        <f ca="1">'Invoice finance'!BH$28</f>
        <v>0</v>
      </c>
      <c r="BI20" s="10">
        <f ca="1">'Invoice finance'!BI$28</f>
        <v>0</v>
      </c>
      <c r="BJ20" s="10">
        <f ca="1">'Invoice finance'!BJ$28</f>
        <v>0</v>
      </c>
      <c r="BK20" s="10">
        <f ca="1">'Invoice finance'!BK$28</f>
        <v>0</v>
      </c>
      <c r="BL20" s="10">
        <f ca="1">'Invoice finance'!BL$28</f>
        <v>0</v>
      </c>
      <c r="BM20" s="10">
        <f ca="1">'Invoice finance'!BM$28</f>
        <v>0</v>
      </c>
      <c r="BN20" s="10">
        <f ca="1">'Invoice finance'!BN$28</f>
        <v>0</v>
      </c>
      <c r="BO20" s="10">
        <f ca="1">'Invoice finance'!BO$28</f>
        <v>0</v>
      </c>
      <c r="BP20" s="10">
        <f ca="1">'Invoice finance'!BP$28</f>
        <v>0</v>
      </c>
      <c r="BQ20" s="10">
        <f ca="1">'Invoice finance'!BQ$28</f>
        <v>0</v>
      </c>
    </row>
    <row r="21" spans="5:69">
      <c r="E21" s="17" t="str">
        <f xml:space="preserve"> 'Asset Finance'!E$22</f>
        <v>Asset Finance drawdown</v>
      </c>
      <c r="F21" s="17">
        <f xml:space="preserve"> 'Asset Finance'!F$22</f>
        <v>0</v>
      </c>
      <c r="G21" s="17" t="str">
        <f xml:space="preserve"> 'Asset Finance'!G$22</f>
        <v>GBP</v>
      </c>
      <c r="H21" s="44">
        <f ca="1" xml:space="preserve"> 'Asset Finance'!H$22</f>
        <v>0</v>
      </c>
      <c r="I21" s="17">
        <f xml:space="preserve"> 'Asset Finance'!I$22</f>
        <v>0</v>
      </c>
      <c r="J21" s="10">
        <f ca="1" xml:space="preserve"> 'Asset Finance'!J$22</f>
        <v>0</v>
      </c>
      <c r="K21" s="10">
        <f ca="1" xml:space="preserve"> 'Asset Finance'!K$22</f>
        <v>0</v>
      </c>
      <c r="L21" s="10">
        <f ca="1" xml:space="preserve"> 'Asset Finance'!L$22</f>
        <v>0</v>
      </c>
      <c r="M21" s="10">
        <f ca="1" xml:space="preserve"> 'Asset Finance'!M$22</f>
        <v>0</v>
      </c>
      <c r="N21" s="10">
        <f ca="1" xml:space="preserve"> 'Asset Finance'!N$22</f>
        <v>0</v>
      </c>
      <c r="O21" s="10">
        <f ca="1" xml:space="preserve"> 'Asset Finance'!O$22</f>
        <v>0</v>
      </c>
      <c r="P21" s="10">
        <f ca="1" xml:space="preserve"> 'Asset Finance'!P$22</f>
        <v>0</v>
      </c>
      <c r="Q21" s="10">
        <f ca="1" xml:space="preserve"> 'Asset Finance'!Q$22</f>
        <v>0</v>
      </c>
      <c r="R21" s="10">
        <f ca="1" xml:space="preserve"> 'Asset Finance'!R$22</f>
        <v>0</v>
      </c>
      <c r="S21" s="10">
        <f ca="1" xml:space="preserve"> 'Asset Finance'!S$22</f>
        <v>0</v>
      </c>
      <c r="T21" s="10">
        <f ca="1" xml:space="preserve"> 'Asset Finance'!T$22</f>
        <v>0</v>
      </c>
      <c r="U21" s="10">
        <f ca="1" xml:space="preserve"> 'Asset Finance'!U$22</f>
        <v>0</v>
      </c>
      <c r="V21" s="10">
        <f ca="1" xml:space="preserve"> 'Asset Finance'!V$22</f>
        <v>0</v>
      </c>
      <c r="W21" s="10">
        <f ca="1" xml:space="preserve"> 'Asset Finance'!W$22</f>
        <v>0</v>
      </c>
      <c r="X21" s="10">
        <f ca="1" xml:space="preserve"> 'Asset Finance'!X$22</f>
        <v>0</v>
      </c>
      <c r="Y21" s="10">
        <f ca="1" xml:space="preserve"> 'Asset Finance'!Y$22</f>
        <v>0</v>
      </c>
      <c r="Z21" s="10">
        <f ca="1" xml:space="preserve"> 'Asset Finance'!Z$22</f>
        <v>0</v>
      </c>
      <c r="AA21" s="10">
        <f ca="1" xml:space="preserve"> 'Asset Finance'!AA$22</f>
        <v>0</v>
      </c>
      <c r="AB21" s="10">
        <f ca="1" xml:space="preserve"> 'Asset Finance'!AB$22</f>
        <v>0</v>
      </c>
      <c r="AC21" s="10">
        <f ca="1" xml:space="preserve"> 'Asset Finance'!AC$22</f>
        <v>0</v>
      </c>
      <c r="AD21" s="10">
        <f ca="1" xml:space="preserve"> 'Asset Finance'!AD$22</f>
        <v>0</v>
      </c>
      <c r="AE21" s="10">
        <f ca="1" xml:space="preserve"> 'Asset Finance'!AE$22</f>
        <v>0</v>
      </c>
      <c r="AF21" s="10">
        <f ca="1" xml:space="preserve"> 'Asset Finance'!AF$22</f>
        <v>0</v>
      </c>
      <c r="AG21" s="10">
        <f ca="1" xml:space="preserve"> 'Asset Finance'!AG$22</f>
        <v>0</v>
      </c>
      <c r="AH21" s="10">
        <f ca="1" xml:space="preserve"> 'Asset Finance'!AH$22</f>
        <v>0</v>
      </c>
      <c r="AI21" s="10">
        <f ca="1" xml:space="preserve"> 'Asset Finance'!AI$22</f>
        <v>0</v>
      </c>
      <c r="AJ21" s="10">
        <f ca="1" xml:space="preserve"> 'Asset Finance'!AJ$22</f>
        <v>0</v>
      </c>
      <c r="AK21" s="10">
        <f ca="1" xml:space="preserve"> 'Asset Finance'!AK$22</f>
        <v>0</v>
      </c>
      <c r="AL21" s="10">
        <f ca="1" xml:space="preserve"> 'Asset Finance'!AL$22</f>
        <v>0</v>
      </c>
      <c r="AM21" s="10">
        <f ca="1" xml:space="preserve"> 'Asset Finance'!AM$22</f>
        <v>0</v>
      </c>
      <c r="AN21" s="10">
        <f ca="1" xml:space="preserve"> 'Asset Finance'!AN$22</f>
        <v>0</v>
      </c>
      <c r="AO21" s="10">
        <f ca="1" xml:space="preserve"> 'Asset Finance'!AO$22</f>
        <v>0</v>
      </c>
      <c r="AP21" s="10">
        <f ca="1" xml:space="preserve"> 'Asset Finance'!AP$22</f>
        <v>0</v>
      </c>
      <c r="AQ21" s="10">
        <f ca="1" xml:space="preserve"> 'Asset Finance'!AQ$22</f>
        <v>0</v>
      </c>
      <c r="AR21" s="10">
        <f ca="1" xml:space="preserve"> 'Asset Finance'!AR$22</f>
        <v>0</v>
      </c>
      <c r="AS21" s="10">
        <f ca="1" xml:space="preserve"> 'Asset Finance'!AS$22</f>
        <v>0</v>
      </c>
      <c r="AT21" s="10">
        <f ca="1" xml:space="preserve"> 'Asset Finance'!AT$22</f>
        <v>0</v>
      </c>
      <c r="AU21" s="10">
        <f ca="1" xml:space="preserve"> 'Asset Finance'!AU$22</f>
        <v>0</v>
      </c>
      <c r="AV21" s="10">
        <f ca="1" xml:space="preserve"> 'Asset Finance'!AV$22</f>
        <v>0</v>
      </c>
      <c r="AW21" s="10">
        <f ca="1" xml:space="preserve"> 'Asset Finance'!AW$22</f>
        <v>0</v>
      </c>
      <c r="AX21" s="10">
        <f ca="1" xml:space="preserve"> 'Asset Finance'!AX$22</f>
        <v>0</v>
      </c>
      <c r="AY21" s="10">
        <f ca="1" xml:space="preserve"> 'Asset Finance'!AY$22</f>
        <v>0</v>
      </c>
      <c r="AZ21" s="10">
        <f ca="1" xml:space="preserve"> 'Asset Finance'!AZ$22</f>
        <v>0</v>
      </c>
      <c r="BA21" s="10">
        <f ca="1" xml:space="preserve"> 'Asset Finance'!BA$22</f>
        <v>0</v>
      </c>
      <c r="BB21" s="10">
        <f ca="1" xml:space="preserve"> 'Asset Finance'!BB$22</f>
        <v>0</v>
      </c>
      <c r="BC21" s="10">
        <f ca="1" xml:space="preserve"> 'Asset Finance'!BC$22</f>
        <v>0</v>
      </c>
      <c r="BD21" s="10">
        <f ca="1" xml:space="preserve"> 'Asset Finance'!BD$22</f>
        <v>0</v>
      </c>
      <c r="BE21" s="10">
        <f ca="1" xml:space="preserve"> 'Asset Finance'!BE$22</f>
        <v>0</v>
      </c>
      <c r="BF21" s="10">
        <f ca="1" xml:space="preserve"> 'Asset Finance'!BF$22</f>
        <v>0</v>
      </c>
      <c r="BG21" s="10">
        <f ca="1" xml:space="preserve"> 'Asset Finance'!BG$22</f>
        <v>0</v>
      </c>
      <c r="BH21" s="10">
        <f ca="1" xml:space="preserve"> 'Asset Finance'!BH$22</f>
        <v>0</v>
      </c>
      <c r="BI21" s="10">
        <f ca="1" xml:space="preserve"> 'Asset Finance'!BI$22</f>
        <v>0</v>
      </c>
      <c r="BJ21" s="10">
        <f ca="1" xml:space="preserve"> 'Asset Finance'!BJ$22</f>
        <v>0</v>
      </c>
      <c r="BK21" s="10">
        <f ca="1" xml:space="preserve"> 'Asset Finance'!BK$22</f>
        <v>0</v>
      </c>
      <c r="BL21" s="10">
        <f ca="1" xml:space="preserve"> 'Asset Finance'!BL$22</f>
        <v>0</v>
      </c>
      <c r="BM21" s="10">
        <f ca="1" xml:space="preserve"> 'Asset Finance'!BM$22</f>
        <v>0</v>
      </c>
      <c r="BN21" s="10">
        <f ca="1" xml:space="preserve"> 'Asset Finance'!BN$22</f>
        <v>0</v>
      </c>
      <c r="BO21" s="10">
        <f ca="1" xml:space="preserve"> 'Asset Finance'!BO$22</f>
        <v>0</v>
      </c>
      <c r="BP21" s="10">
        <f ca="1" xml:space="preserve"> 'Asset Finance'!BP$22</f>
        <v>0</v>
      </c>
      <c r="BQ21" s="10">
        <f ca="1" xml:space="preserve"> 'Asset Finance'!BQ$22</f>
        <v>0</v>
      </c>
    </row>
    <row r="22" spans="5:69">
      <c r="E22" s="17" t="str">
        <f xml:space="preserve"> 'Asset Finance'!E$29</f>
        <v xml:space="preserve">Asset Finance principal repayment </v>
      </c>
      <c r="F22" s="17">
        <f xml:space="preserve"> 'Asset Finance'!F$29</f>
        <v>0</v>
      </c>
      <c r="G22" s="17" t="str">
        <f xml:space="preserve"> 'Asset Finance'!G$29</f>
        <v>GBP</v>
      </c>
      <c r="H22" s="44">
        <f ca="1" xml:space="preserve"> 'Asset Finance'!H$29</f>
        <v>0</v>
      </c>
      <c r="I22" s="17">
        <f xml:space="preserve"> 'Asset Finance'!I$29</f>
        <v>0</v>
      </c>
      <c r="J22" s="10">
        <f>'Asset Finance'!J$29</f>
        <v>0</v>
      </c>
      <c r="K22" s="10">
        <f ca="1">'Asset Finance'!K$29</f>
        <v>0</v>
      </c>
      <c r="L22" s="10">
        <f ca="1">'Asset Finance'!L$29</f>
        <v>0</v>
      </c>
      <c r="M22" s="10">
        <f ca="1">'Asset Finance'!M$29</f>
        <v>0</v>
      </c>
      <c r="N22" s="10">
        <f ca="1">'Asset Finance'!N$29</f>
        <v>0</v>
      </c>
      <c r="O22" s="10">
        <f ca="1">'Asset Finance'!O$29</f>
        <v>0</v>
      </c>
      <c r="P22" s="10">
        <f ca="1">'Asset Finance'!P$29</f>
        <v>0</v>
      </c>
      <c r="Q22" s="10">
        <f ca="1">'Asset Finance'!Q$29</f>
        <v>0</v>
      </c>
      <c r="R22" s="10">
        <f ca="1">'Asset Finance'!R$29</f>
        <v>0</v>
      </c>
      <c r="S22" s="10">
        <f ca="1">'Asset Finance'!S$29</f>
        <v>0</v>
      </c>
      <c r="T22" s="10">
        <f ca="1">'Asset Finance'!T$29</f>
        <v>0</v>
      </c>
      <c r="U22" s="10">
        <f ca="1">'Asset Finance'!U$29</f>
        <v>0</v>
      </c>
      <c r="V22" s="10">
        <f ca="1">'Asset Finance'!V$29</f>
        <v>0</v>
      </c>
      <c r="W22" s="10">
        <f ca="1">'Asset Finance'!W$29</f>
        <v>0</v>
      </c>
      <c r="X22" s="10">
        <f ca="1">'Asset Finance'!X$29</f>
        <v>0</v>
      </c>
      <c r="Y22" s="10">
        <f ca="1">'Asset Finance'!Y$29</f>
        <v>0</v>
      </c>
      <c r="Z22" s="10">
        <f ca="1">'Asset Finance'!Z$29</f>
        <v>0</v>
      </c>
      <c r="AA22" s="10">
        <f ca="1">'Asset Finance'!AA$29</f>
        <v>0</v>
      </c>
      <c r="AB22" s="10">
        <f ca="1">'Asset Finance'!AB$29</f>
        <v>0</v>
      </c>
      <c r="AC22" s="10">
        <f ca="1">'Asset Finance'!AC$29</f>
        <v>0</v>
      </c>
      <c r="AD22" s="10">
        <f ca="1">'Asset Finance'!AD$29</f>
        <v>0</v>
      </c>
      <c r="AE22" s="10">
        <f ca="1">'Asset Finance'!AE$29</f>
        <v>0</v>
      </c>
      <c r="AF22" s="10">
        <f ca="1">'Asset Finance'!AF$29</f>
        <v>0</v>
      </c>
      <c r="AG22" s="10">
        <f ca="1">'Asset Finance'!AG$29</f>
        <v>0</v>
      </c>
      <c r="AH22" s="10">
        <f ca="1">'Asset Finance'!AH$29</f>
        <v>0</v>
      </c>
      <c r="AI22" s="10">
        <f ca="1">'Asset Finance'!AI$29</f>
        <v>0</v>
      </c>
      <c r="AJ22" s="10">
        <f ca="1">'Asset Finance'!AJ$29</f>
        <v>0</v>
      </c>
      <c r="AK22" s="10">
        <f ca="1">'Asset Finance'!AK$29</f>
        <v>0</v>
      </c>
      <c r="AL22" s="10">
        <f ca="1">'Asset Finance'!AL$29</f>
        <v>0</v>
      </c>
      <c r="AM22" s="10">
        <f ca="1">'Asset Finance'!AM$29</f>
        <v>0</v>
      </c>
      <c r="AN22" s="10">
        <f ca="1">'Asset Finance'!AN$29</f>
        <v>0</v>
      </c>
      <c r="AO22" s="10">
        <f ca="1">'Asset Finance'!AO$29</f>
        <v>0</v>
      </c>
      <c r="AP22" s="10">
        <f ca="1">'Asset Finance'!AP$29</f>
        <v>0</v>
      </c>
      <c r="AQ22" s="10">
        <f ca="1">'Asset Finance'!AQ$29</f>
        <v>0</v>
      </c>
      <c r="AR22" s="10">
        <f ca="1">'Asset Finance'!AR$29</f>
        <v>0</v>
      </c>
      <c r="AS22" s="10">
        <f ca="1">'Asset Finance'!AS$29</f>
        <v>0</v>
      </c>
      <c r="AT22" s="10">
        <f ca="1">'Asset Finance'!AT$29</f>
        <v>0</v>
      </c>
      <c r="AU22" s="10">
        <f ca="1">'Asset Finance'!AU$29</f>
        <v>0</v>
      </c>
      <c r="AV22" s="10">
        <f ca="1">'Asset Finance'!AV$29</f>
        <v>0</v>
      </c>
      <c r="AW22" s="10">
        <f ca="1">'Asset Finance'!AW$29</f>
        <v>0</v>
      </c>
      <c r="AX22" s="10">
        <f ca="1">'Asset Finance'!AX$29</f>
        <v>0</v>
      </c>
      <c r="AY22" s="10">
        <f ca="1">'Asset Finance'!AY$29</f>
        <v>0</v>
      </c>
      <c r="AZ22" s="10">
        <f ca="1">'Asset Finance'!AZ$29</f>
        <v>0</v>
      </c>
      <c r="BA22" s="10">
        <f ca="1">'Asset Finance'!BA$29</f>
        <v>0</v>
      </c>
      <c r="BB22" s="10">
        <f ca="1">'Asset Finance'!BB$29</f>
        <v>0</v>
      </c>
      <c r="BC22" s="10">
        <f ca="1">'Asset Finance'!BC$29</f>
        <v>0</v>
      </c>
      <c r="BD22" s="10">
        <f ca="1">'Asset Finance'!BD$29</f>
        <v>0</v>
      </c>
      <c r="BE22" s="10">
        <f ca="1">'Asset Finance'!BE$29</f>
        <v>0</v>
      </c>
      <c r="BF22" s="10">
        <f ca="1">'Asset Finance'!BF$29</f>
        <v>0</v>
      </c>
      <c r="BG22" s="10">
        <f ca="1">'Asset Finance'!BG$29</f>
        <v>0</v>
      </c>
      <c r="BH22" s="10">
        <f ca="1">'Asset Finance'!BH$29</f>
        <v>0</v>
      </c>
      <c r="BI22" s="10">
        <f ca="1">'Asset Finance'!BI$29</f>
        <v>0</v>
      </c>
      <c r="BJ22" s="10">
        <f ca="1">'Asset Finance'!BJ$29</f>
        <v>0</v>
      </c>
      <c r="BK22" s="10">
        <f ca="1">'Asset Finance'!BK$29</f>
        <v>0</v>
      </c>
      <c r="BL22" s="10">
        <f ca="1">'Asset Finance'!BL$29</f>
        <v>0</v>
      </c>
      <c r="BM22" s="10">
        <f ca="1">'Asset Finance'!BM$29</f>
        <v>0</v>
      </c>
      <c r="BN22" s="10">
        <f ca="1">'Asset Finance'!BN$29</f>
        <v>0</v>
      </c>
      <c r="BO22" s="10">
        <f ca="1">'Asset Finance'!BO$29</f>
        <v>0</v>
      </c>
      <c r="BP22" s="10">
        <f ca="1">'Asset Finance'!BP$29</f>
        <v>0</v>
      </c>
      <c r="BQ22" s="10">
        <f ca="1">'Asset Finance'!BQ$29</f>
        <v>0</v>
      </c>
    </row>
    <row r="23" spans="5:6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0</v>
      </c>
      <c r="I23" s="17">
        <f xml:space="preserve"> 'Supply Chain finance'!I$48</f>
        <v>0</v>
      </c>
      <c r="J23" s="10">
        <f>'Supply Chain finance'!J$48</f>
        <v>0</v>
      </c>
      <c r="K23" s="10">
        <f ca="1">'Supply Chain finance'!K$48</f>
        <v>0</v>
      </c>
      <c r="L23" s="10">
        <f ca="1">'Supply Chain finance'!L$48</f>
        <v>0</v>
      </c>
      <c r="M23" s="10">
        <f ca="1">'Supply Chain finance'!M$48</f>
        <v>0</v>
      </c>
      <c r="N23" s="10">
        <f ca="1">'Supply Chain finance'!N$48</f>
        <v>0</v>
      </c>
      <c r="O23" s="10">
        <f ca="1">'Supply Chain finance'!O$48</f>
        <v>0</v>
      </c>
      <c r="P23" s="10">
        <f ca="1">'Supply Chain finance'!P$48</f>
        <v>0</v>
      </c>
      <c r="Q23" s="10">
        <f ca="1">'Supply Chain finance'!Q$48</f>
        <v>0</v>
      </c>
      <c r="R23" s="10">
        <f ca="1">'Supply Chain finance'!R$48</f>
        <v>0</v>
      </c>
      <c r="S23" s="10">
        <f ca="1">'Supply Chain finance'!S$48</f>
        <v>0</v>
      </c>
      <c r="T23" s="10">
        <f ca="1">'Supply Chain finance'!T$48</f>
        <v>0</v>
      </c>
      <c r="U23" s="10">
        <f ca="1">'Supply Chain finance'!U$48</f>
        <v>0</v>
      </c>
      <c r="V23" s="10">
        <f ca="1">'Supply Chain finance'!V$48</f>
        <v>0</v>
      </c>
      <c r="W23" s="10">
        <f ca="1">'Supply Chain finance'!W$48</f>
        <v>0</v>
      </c>
      <c r="X23" s="10">
        <f ca="1">'Supply Chain finance'!X$48</f>
        <v>0</v>
      </c>
      <c r="Y23" s="10">
        <f ca="1">'Supply Chain finance'!Y$48</f>
        <v>0</v>
      </c>
      <c r="Z23" s="10">
        <f ca="1">'Supply Chain finance'!Z$48</f>
        <v>0</v>
      </c>
      <c r="AA23" s="10">
        <f ca="1">'Supply Chain finance'!AA$48</f>
        <v>0</v>
      </c>
      <c r="AB23" s="10">
        <f ca="1">'Supply Chain finance'!AB$48</f>
        <v>0</v>
      </c>
      <c r="AC23" s="10">
        <f ca="1">'Supply Chain finance'!AC$48</f>
        <v>0</v>
      </c>
      <c r="AD23" s="10">
        <f ca="1">'Supply Chain finance'!AD$48</f>
        <v>0</v>
      </c>
      <c r="AE23" s="10">
        <f ca="1">'Supply Chain finance'!AE$48</f>
        <v>0</v>
      </c>
      <c r="AF23" s="10">
        <f ca="1">'Supply Chain finance'!AF$48</f>
        <v>0</v>
      </c>
      <c r="AG23" s="10">
        <f ca="1">'Supply Chain finance'!AG$48</f>
        <v>0</v>
      </c>
      <c r="AH23" s="10">
        <f ca="1">'Supply Chain finance'!AH$48</f>
        <v>0</v>
      </c>
      <c r="AI23" s="10">
        <f ca="1">'Supply Chain finance'!AI$48</f>
        <v>0</v>
      </c>
      <c r="AJ23" s="10">
        <f ca="1">'Supply Chain finance'!AJ$48</f>
        <v>0</v>
      </c>
      <c r="AK23" s="10">
        <f ca="1">'Supply Chain finance'!AK$48</f>
        <v>0</v>
      </c>
      <c r="AL23" s="10">
        <f ca="1">'Supply Chain finance'!AL$48</f>
        <v>0</v>
      </c>
      <c r="AM23" s="10">
        <f ca="1">'Supply Chain finance'!AM$48</f>
        <v>0</v>
      </c>
      <c r="AN23" s="10">
        <f ca="1">'Supply Chain finance'!AN$48</f>
        <v>0</v>
      </c>
      <c r="AO23" s="10">
        <f ca="1">'Supply Chain finance'!AO$48</f>
        <v>0</v>
      </c>
      <c r="AP23" s="10">
        <f ca="1">'Supply Chain finance'!AP$48</f>
        <v>0</v>
      </c>
      <c r="AQ23" s="10">
        <f ca="1">'Supply Chain finance'!AQ$48</f>
        <v>0</v>
      </c>
      <c r="AR23" s="10">
        <f ca="1">'Supply Chain finance'!AR$48</f>
        <v>0</v>
      </c>
      <c r="AS23" s="10">
        <f ca="1">'Supply Chain finance'!AS$48</f>
        <v>0</v>
      </c>
      <c r="AT23" s="10">
        <f ca="1">'Supply Chain finance'!AT$48</f>
        <v>0</v>
      </c>
      <c r="AU23" s="10">
        <f ca="1">'Supply Chain finance'!AU$48</f>
        <v>0</v>
      </c>
      <c r="AV23" s="10">
        <f ca="1">'Supply Chain finance'!AV$48</f>
        <v>0</v>
      </c>
      <c r="AW23" s="10">
        <f ca="1">'Supply Chain finance'!AW$48</f>
        <v>0</v>
      </c>
      <c r="AX23" s="10">
        <f ca="1">'Supply Chain finance'!AX$48</f>
        <v>0</v>
      </c>
      <c r="AY23" s="10">
        <f ca="1">'Supply Chain finance'!AY$48</f>
        <v>0</v>
      </c>
      <c r="AZ23" s="10">
        <f ca="1">'Supply Chain finance'!AZ$48</f>
        <v>0</v>
      </c>
      <c r="BA23" s="10">
        <f ca="1">'Supply Chain finance'!BA$48</f>
        <v>0</v>
      </c>
      <c r="BB23" s="10">
        <f ca="1">'Supply Chain finance'!BB$48</f>
        <v>0</v>
      </c>
      <c r="BC23" s="10">
        <f ca="1">'Supply Chain finance'!BC$48</f>
        <v>0</v>
      </c>
      <c r="BD23" s="10">
        <f ca="1">'Supply Chain finance'!BD$48</f>
        <v>0</v>
      </c>
      <c r="BE23" s="10">
        <f ca="1">'Supply Chain finance'!BE$48</f>
        <v>0</v>
      </c>
      <c r="BF23" s="10">
        <f ca="1">'Supply Chain finance'!BF$48</f>
        <v>0</v>
      </c>
      <c r="BG23" s="10">
        <f ca="1">'Supply Chain finance'!BG$48</f>
        <v>0</v>
      </c>
      <c r="BH23" s="10">
        <f ca="1">'Supply Chain finance'!BH$48</f>
        <v>0</v>
      </c>
      <c r="BI23" s="10">
        <f ca="1">'Supply Chain finance'!BI$48</f>
        <v>0</v>
      </c>
      <c r="BJ23" s="10">
        <f ca="1">'Supply Chain finance'!BJ$48</f>
        <v>0</v>
      </c>
      <c r="BK23" s="10">
        <f ca="1">'Supply Chain finance'!BK$48</f>
        <v>0</v>
      </c>
      <c r="BL23" s="10">
        <f ca="1">'Supply Chain finance'!BL$48</f>
        <v>0</v>
      </c>
      <c r="BM23" s="10">
        <f ca="1">'Supply Chain finance'!BM$48</f>
        <v>0</v>
      </c>
      <c r="BN23" s="10">
        <f ca="1">'Supply Chain finance'!BN$48</f>
        <v>0</v>
      </c>
      <c r="BO23" s="10">
        <f ca="1">'Supply Chain finance'!BO$48</f>
        <v>0</v>
      </c>
      <c r="BP23" s="10">
        <f ca="1">'Supply Chain finance'!BP$48</f>
        <v>0</v>
      </c>
      <c r="BQ23" s="10">
        <f ca="1">'Supply Chain finance'!BQ$48</f>
        <v>0</v>
      </c>
    </row>
    <row r="24" spans="5:6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0</v>
      </c>
      <c r="I24" s="17">
        <f xml:space="preserve"> 'Invoice finance'!I$47</f>
        <v>0</v>
      </c>
      <c r="J24" s="10">
        <f>'Invoice finance'!J$47</f>
        <v>0</v>
      </c>
      <c r="K24" s="10">
        <f ca="1">'Invoice finance'!K$47</f>
        <v>0</v>
      </c>
      <c r="L24" s="10">
        <f ca="1">'Invoice finance'!L$47</f>
        <v>0</v>
      </c>
      <c r="M24" s="10">
        <f ca="1">'Invoice finance'!M$47</f>
        <v>0</v>
      </c>
      <c r="N24" s="10">
        <f ca="1">'Invoice finance'!N$47</f>
        <v>0</v>
      </c>
      <c r="O24" s="10">
        <f ca="1">'Invoice finance'!O$47</f>
        <v>0</v>
      </c>
      <c r="P24" s="10">
        <f ca="1">'Invoice finance'!P$47</f>
        <v>0</v>
      </c>
      <c r="Q24" s="10">
        <f ca="1">'Invoice finance'!Q$47</f>
        <v>0</v>
      </c>
      <c r="R24" s="10">
        <f ca="1">'Invoice finance'!R$47</f>
        <v>0</v>
      </c>
      <c r="S24" s="10">
        <f ca="1">'Invoice finance'!S$47</f>
        <v>0</v>
      </c>
      <c r="T24" s="10">
        <f ca="1">'Invoice finance'!T$47</f>
        <v>0</v>
      </c>
      <c r="U24" s="10">
        <f ca="1">'Invoice finance'!U$47</f>
        <v>0</v>
      </c>
      <c r="V24" s="10">
        <f ca="1">'Invoice finance'!V$47</f>
        <v>0</v>
      </c>
      <c r="W24" s="10">
        <f ca="1">'Invoice finance'!W$47</f>
        <v>0</v>
      </c>
      <c r="X24" s="10">
        <f ca="1">'Invoice finance'!X$47</f>
        <v>0</v>
      </c>
      <c r="Y24" s="10">
        <f ca="1">'Invoice finance'!Y$47</f>
        <v>0</v>
      </c>
      <c r="Z24" s="10">
        <f ca="1">'Invoice finance'!Z$47</f>
        <v>0</v>
      </c>
      <c r="AA24" s="10">
        <f ca="1">'Invoice finance'!AA$47</f>
        <v>0</v>
      </c>
      <c r="AB24" s="10">
        <f ca="1">'Invoice finance'!AB$47</f>
        <v>0</v>
      </c>
      <c r="AC24" s="10">
        <f ca="1">'Invoice finance'!AC$47</f>
        <v>0</v>
      </c>
      <c r="AD24" s="10">
        <f ca="1">'Invoice finance'!AD$47</f>
        <v>0</v>
      </c>
      <c r="AE24" s="10">
        <f ca="1">'Invoice finance'!AE$47</f>
        <v>0</v>
      </c>
      <c r="AF24" s="10">
        <f ca="1">'Invoice finance'!AF$47</f>
        <v>0</v>
      </c>
      <c r="AG24" s="10">
        <f ca="1">'Invoice finance'!AG$47</f>
        <v>0</v>
      </c>
      <c r="AH24" s="10">
        <f ca="1">'Invoice finance'!AH$47</f>
        <v>0</v>
      </c>
      <c r="AI24" s="10">
        <f ca="1">'Invoice finance'!AI$47</f>
        <v>0</v>
      </c>
      <c r="AJ24" s="10">
        <f ca="1">'Invoice finance'!AJ$47</f>
        <v>0</v>
      </c>
      <c r="AK24" s="10">
        <f ca="1">'Invoice finance'!AK$47</f>
        <v>0</v>
      </c>
      <c r="AL24" s="10">
        <f ca="1">'Invoice finance'!AL$47</f>
        <v>0</v>
      </c>
      <c r="AM24" s="10">
        <f ca="1">'Invoice finance'!AM$47</f>
        <v>0</v>
      </c>
      <c r="AN24" s="10">
        <f ca="1">'Invoice finance'!AN$47</f>
        <v>0</v>
      </c>
      <c r="AO24" s="10">
        <f ca="1">'Invoice finance'!AO$47</f>
        <v>0</v>
      </c>
      <c r="AP24" s="10">
        <f ca="1">'Invoice finance'!AP$47</f>
        <v>0</v>
      </c>
      <c r="AQ24" s="10">
        <f ca="1">'Invoice finance'!AQ$47</f>
        <v>0</v>
      </c>
      <c r="AR24" s="10">
        <f ca="1">'Invoice finance'!AR$47</f>
        <v>0</v>
      </c>
      <c r="AS24" s="10">
        <f ca="1">'Invoice finance'!AS$47</f>
        <v>0</v>
      </c>
      <c r="AT24" s="10">
        <f ca="1">'Invoice finance'!AT$47</f>
        <v>0</v>
      </c>
      <c r="AU24" s="10">
        <f ca="1">'Invoice finance'!AU$47</f>
        <v>0</v>
      </c>
      <c r="AV24" s="10">
        <f ca="1">'Invoice finance'!AV$47</f>
        <v>0</v>
      </c>
      <c r="AW24" s="10">
        <f ca="1">'Invoice finance'!AW$47</f>
        <v>0</v>
      </c>
      <c r="AX24" s="10">
        <f ca="1">'Invoice finance'!AX$47</f>
        <v>0</v>
      </c>
      <c r="AY24" s="10">
        <f ca="1">'Invoice finance'!AY$47</f>
        <v>0</v>
      </c>
      <c r="AZ24" s="10">
        <f ca="1">'Invoice finance'!AZ$47</f>
        <v>0</v>
      </c>
      <c r="BA24" s="10">
        <f ca="1">'Invoice finance'!BA$47</f>
        <v>0</v>
      </c>
      <c r="BB24" s="10">
        <f ca="1">'Invoice finance'!BB$47</f>
        <v>0</v>
      </c>
      <c r="BC24" s="10">
        <f ca="1">'Invoice finance'!BC$47</f>
        <v>0</v>
      </c>
      <c r="BD24" s="10">
        <f ca="1">'Invoice finance'!BD$47</f>
        <v>0</v>
      </c>
      <c r="BE24" s="10">
        <f ca="1">'Invoice finance'!BE$47</f>
        <v>0</v>
      </c>
      <c r="BF24" s="10">
        <f ca="1">'Invoice finance'!BF$47</f>
        <v>0</v>
      </c>
      <c r="BG24" s="10">
        <f ca="1">'Invoice finance'!BG$47</f>
        <v>0</v>
      </c>
      <c r="BH24" s="10">
        <f ca="1">'Invoice finance'!BH$47</f>
        <v>0</v>
      </c>
      <c r="BI24" s="10">
        <f ca="1">'Invoice finance'!BI$47</f>
        <v>0</v>
      </c>
      <c r="BJ24" s="10">
        <f ca="1">'Invoice finance'!BJ$47</f>
        <v>0</v>
      </c>
      <c r="BK24" s="10">
        <f ca="1">'Invoice finance'!BK$47</f>
        <v>0</v>
      </c>
      <c r="BL24" s="10">
        <f ca="1">'Invoice finance'!BL$47</f>
        <v>0</v>
      </c>
      <c r="BM24" s="10">
        <f ca="1">'Invoice finance'!BM$47</f>
        <v>0</v>
      </c>
      <c r="BN24" s="10">
        <f ca="1">'Invoice finance'!BN$47</f>
        <v>0</v>
      </c>
      <c r="BO24" s="10">
        <f ca="1">'Invoice finance'!BO$47</f>
        <v>0</v>
      </c>
      <c r="BP24" s="10">
        <f ca="1">'Invoice finance'!BP$47</f>
        <v>0</v>
      </c>
      <c r="BQ24" s="10">
        <f ca="1">'Invoice finance'!BQ$47</f>
        <v>0</v>
      </c>
    </row>
    <row r="25" spans="5:69">
      <c r="E25" s="17" t="str">
        <f xml:space="preserve"> 'Asset Finance'!E$48</f>
        <v xml:space="preserve">Asset Finance interest paid </v>
      </c>
      <c r="F25" s="17">
        <f xml:space="preserve"> 'Asset Finance'!F$48</f>
        <v>0</v>
      </c>
      <c r="G25" s="17" t="str">
        <f xml:space="preserve"> 'Asset Finance'!G$48</f>
        <v>GBP</v>
      </c>
      <c r="H25" s="44">
        <f ca="1" xml:space="preserve"> 'Asset Finance'!H$48</f>
        <v>0</v>
      </c>
      <c r="I25" s="17">
        <f xml:space="preserve"> 'Asset Finance'!I$48</f>
        <v>0</v>
      </c>
      <c r="J25" s="10">
        <f>'Asset Finance'!J$48</f>
        <v>0</v>
      </c>
      <c r="K25" s="10">
        <f ca="1">'Asset Finance'!K$48</f>
        <v>0</v>
      </c>
      <c r="L25" s="10">
        <f ca="1">'Asset Finance'!L$48</f>
        <v>0</v>
      </c>
      <c r="M25" s="10">
        <f ca="1">'Asset Finance'!M$48</f>
        <v>0</v>
      </c>
      <c r="N25" s="10">
        <f ca="1">'Asset Finance'!N$48</f>
        <v>0</v>
      </c>
      <c r="O25" s="10">
        <f ca="1">'Asset Finance'!O$48</f>
        <v>0</v>
      </c>
      <c r="P25" s="10">
        <f ca="1">'Asset Finance'!P$48</f>
        <v>0</v>
      </c>
      <c r="Q25" s="10">
        <f ca="1">'Asset Finance'!Q$48</f>
        <v>0</v>
      </c>
      <c r="R25" s="10">
        <f ca="1">'Asset Finance'!R$48</f>
        <v>0</v>
      </c>
      <c r="S25" s="10">
        <f ca="1">'Asset Finance'!S$48</f>
        <v>0</v>
      </c>
      <c r="T25" s="10">
        <f ca="1">'Asset Finance'!T$48</f>
        <v>0</v>
      </c>
      <c r="U25" s="10">
        <f ca="1">'Asset Finance'!U$48</f>
        <v>0</v>
      </c>
      <c r="V25" s="10">
        <f ca="1">'Asset Finance'!V$48</f>
        <v>0</v>
      </c>
      <c r="W25" s="10">
        <f ca="1">'Asset Finance'!W$48</f>
        <v>0</v>
      </c>
      <c r="X25" s="10">
        <f ca="1">'Asset Finance'!X$48</f>
        <v>0</v>
      </c>
      <c r="Y25" s="10">
        <f ca="1">'Asset Finance'!Y$48</f>
        <v>0</v>
      </c>
      <c r="Z25" s="10">
        <f ca="1">'Asset Finance'!Z$48</f>
        <v>0</v>
      </c>
      <c r="AA25" s="10">
        <f ca="1">'Asset Finance'!AA$48</f>
        <v>0</v>
      </c>
      <c r="AB25" s="10">
        <f ca="1">'Asset Finance'!AB$48</f>
        <v>0</v>
      </c>
      <c r="AC25" s="10">
        <f ca="1">'Asset Finance'!AC$48</f>
        <v>0</v>
      </c>
      <c r="AD25" s="10">
        <f ca="1">'Asset Finance'!AD$48</f>
        <v>0</v>
      </c>
      <c r="AE25" s="10">
        <f ca="1">'Asset Finance'!AE$48</f>
        <v>0</v>
      </c>
      <c r="AF25" s="10">
        <f ca="1">'Asset Finance'!AF$48</f>
        <v>0</v>
      </c>
      <c r="AG25" s="10">
        <f ca="1">'Asset Finance'!AG$48</f>
        <v>0</v>
      </c>
      <c r="AH25" s="10">
        <f ca="1">'Asset Finance'!AH$48</f>
        <v>0</v>
      </c>
      <c r="AI25" s="10">
        <f ca="1">'Asset Finance'!AI$48</f>
        <v>0</v>
      </c>
      <c r="AJ25" s="10">
        <f ca="1">'Asset Finance'!AJ$48</f>
        <v>0</v>
      </c>
      <c r="AK25" s="10">
        <f ca="1">'Asset Finance'!AK$48</f>
        <v>0</v>
      </c>
      <c r="AL25" s="10">
        <f ca="1">'Asset Finance'!AL$48</f>
        <v>0</v>
      </c>
      <c r="AM25" s="10">
        <f ca="1">'Asset Finance'!AM$48</f>
        <v>0</v>
      </c>
      <c r="AN25" s="10">
        <f ca="1">'Asset Finance'!AN$48</f>
        <v>0</v>
      </c>
      <c r="AO25" s="10">
        <f ca="1">'Asset Finance'!AO$48</f>
        <v>0</v>
      </c>
      <c r="AP25" s="10">
        <f ca="1">'Asset Finance'!AP$48</f>
        <v>0</v>
      </c>
      <c r="AQ25" s="10">
        <f ca="1">'Asset Finance'!AQ$48</f>
        <v>0</v>
      </c>
      <c r="AR25" s="10">
        <f ca="1">'Asset Finance'!AR$48</f>
        <v>0</v>
      </c>
      <c r="AS25" s="10">
        <f ca="1">'Asset Finance'!AS$48</f>
        <v>0</v>
      </c>
      <c r="AT25" s="10">
        <f ca="1">'Asset Finance'!AT$48</f>
        <v>0</v>
      </c>
      <c r="AU25" s="10">
        <f ca="1">'Asset Finance'!AU$48</f>
        <v>0</v>
      </c>
      <c r="AV25" s="10">
        <f ca="1">'Asset Finance'!AV$48</f>
        <v>0</v>
      </c>
      <c r="AW25" s="10">
        <f ca="1">'Asset Finance'!AW$48</f>
        <v>0</v>
      </c>
      <c r="AX25" s="10">
        <f ca="1">'Asset Finance'!AX$48</f>
        <v>0</v>
      </c>
      <c r="AY25" s="10">
        <f ca="1">'Asset Finance'!AY$48</f>
        <v>0</v>
      </c>
      <c r="AZ25" s="10">
        <f ca="1">'Asset Finance'!AZ$48</f>
        <v>0</v>
      </c>
      <c r="BA25" s="10">
        <f ca="1">'Asset Finance'!BA$48</f>
        <v>0</v>
      </c>
      <c r="BB25" s="10">
        <f ca="1">'Asset Finance'!BB$48</f>
        <v>0</v>
      </c>
      <c r="BC25" s="10">
        <f ca="1">'Asset Finance'!BC$48</f>
        <v>0</v>
      </c>
      <c r="BD25" s="10">
        <f ca="1">'Asset Finance'!BD$48</f>
        <v>0</v>
      </c>
      <c r="BE25" s="10">
        <f ca="1">'Asset Finance'!BE$48</f>
        <v>0</v>
      </c>
      <c r="BF25" s="10">
        <f ca="1">'Asset Finance'!BF$48</f>
        <v>0</v>
      </c>
      <c r="BG25" s="10">
        <f ca="1">'Asset Finance'!BG$48</f>
        <v>0</v>
      </c>
      <c r="BH25" s="10">
        <f ca="1">'Asset Finance'!BH$48</f>
        <v>0</v>
      </c>
      <c r="BI25" s="10">
        <f ca="1">'Asset Finance'!BI$48</f>
        <v>0</v>
      </c>
      <c r="BJ25" s="10">
        <f ca="1">'Asset Finance'!BJ$48</f>
        <v>0</v>
      </c>
      <c r="BK25" s="10">
        <f ca="1">'Asset Finance'!BK$48</f>
        <v>0</v>
      </c>
      <c r="BL25" s="10">
        <f ca="1">'Asset Finance'!BL$48</f>
        <v>0</v>
      </c>
      <c r="BM25" s="10">
        <f ca="1">'Asset Finance'!BM$48</f>
        <v>0</v>
      </c>
      <c r="BN25" s="10">
        <f ca="1">'Asset Finance'!BN$48</f>
        <v>0</v>
      </c>
      <c r="BO25" s="10">
        <f ca="1">'Asset Finance'!BO$48</f>
        <v>0</v>
      </c>
      <c r="BP25" s="10">
        <f ca="1">'Asset Finance'!BP$48</f>
        <v>0</v>
      </c>
      <c r="BQ25" s="10">
        <f ca="1">'Asset Finance'!BQ$48</f>
        <v>0</v>
      </c>
    </row>
    <row r="26" spans="5:69">
      <c r="E26" s="12" t="s">
        <v>182</v>
      </c>
      <c r="F26" s="30"/>
      <c r="G26" s="12" t="s">
        <v>257</v>
      </c>
      <c r="H26" s="54">
        <f ca="1" xml:space="preserve"> SUM( J26:BQ26 )</f>
        <v>419383336.21187401</v>
      </c>
      <c r="I26" s="30"/>
      <c r="J26" s="12">
        <f t="shared" ref="J26:BQ26" ca="1" si="2" xml:space="preserve"> J15 + SUM( J17:J25 )</f>
        <v>-73700</v>
      </c>
      <c r="K26" s="12">
        <f t="shared" ca="1" si="2"/>
        <v>-73700</v>
      </c>
      <c r="L26" s="12">
        <f t="shared" ca="1" si="2"/>
        <v>-165300</v>
      </c>
      <c r="M26" s="12">
        <f t="shared" ca="1" si="2"/>
        <v>-179368.64253648007</v>
      </c>
      <c r="N26" s="12">
        <f t="shared" ca="1" si="2"/>
        <v>736231.3574635199</v>
      </c>
      <c r="O26" s="12">
        <f t="shared" ca="1" si="2"/>
        <v>239852.92883378902</v>
      </c>
      <c r="P26" s="12">
        <f t="shared" ca="1" si="2"/>
        <v>231546.45736916387</v>
      </c>
      <c r="Q26" s="12">
        <f t="shared" ca="1" si="2"/>
        <v>244146.45736916387</v>
      </c>
      <c r="R26" s="12">
        <f t="shared" ca="1" si="2"/>
        <v>1229153.3417144502</v>
      </c>
      <c r="S26" s="12">
        <f t="shared" ca="1" si="2"/>
        <v>957444.90442621405</v>
      </c>
      <c r="T26" s="12">
        <f t="shared" ca="1" si="2"/>
        <v>453444.90442621411</v>
      </c>
      <c r="U26" s="12">
        <f t="shared" ca="1" si="2"/>
        <v>-1127558.3925030218</v>
      </c>
      <c r="V26" s="12">
        <f t="shared" ca="1" si="2"/>
        <v>4471014.0252030026</v>
      </c>
      <c r="W26" s="12">
        <f t="shared" ca="1" si="2"/>
        <v>-289538.73315946513</v>
      </c>
      <c r="X26" s="12">
        <f t="shared" ca="1" si="2"/>
        <v>2926575.9116698531</v>
      </c>
      <c r="Y26" s="12">
        <f t="shared" ca="1" si="2"/>
        <v>2651347.0244624694</v>
      </c>
      <c r="Z26" s="12">
        <f t="shared" ca="1" si="2"/>
        <v>1474316.4672711091</v>
      </c>
      <c r="AA26" s="12">
        <f t="shared" ca="1" si="2"/>
        <v>3882403.5337576102</v>
      </c>
      <c r="AB26" s="12">
        <f t="shared" ca="1" si="2"/>
        <v>146396.82684492937</v>
      </c>
      <c r="AC26" s="12">
        <f t="shared" ca="1" si="2"/>
        <v>569.40793068800122</v>
      </c>
      <c r="AD26" s="12">
        <f t="shared" ca="1" si="2"/>
        <v>1422351.483218204</v>
      </c>
      <c r="AE26" s="12">
        <f t="shared" ca="1" si="2"/>
        <v>815890.67034797138</v>
      </c>
      <c r="AF26" s="12">
        <f t="shared" ca="1" si="2"/>
        <v>287415.94566986582</v>
      </c>
      <c r="AG26" s="12">
        <f t="shared" ca="1" si="2"/>
        <v>74661.194210084213</v>
      </c>
      <c r="AH26" s="12">
        <f t="shared" ca="1" si="2"/>
        <v>6743670.1566248611</v>
      </c>
      <c r="AI26" s="12">
        <f t="shared" ca="1" si="2"/>
        <v>1475064.6398999251</v>
      </c>
      <c r="AJ26" s="12">
        <f t="shared" ca="1" si="2"/>
        <v>6381961.130851822</v>
      </c>
      <c r="AK26" s="12">
        <f t="shared" ca="1" si="2"/>
        <v>1123298.2141068205</v>
      </c>
      <c r="AL26" s="12">
        <f t="shared" ca="1" si="2"/>
        <v>4671130.7151278798</v>
      </c>
      <c r="AM26" s="12">
        <f t="shared" ca="1" si="2"/>
        <v>3555084.2730054427</v>
      </c>
      <c r="AN26" s="12">
        <f t="shared" ca="1" si="2"/>
        <v>3809374.5489722099</v>
      </c>
      <c r="AO26" s="12">
        <f t="shared" ca="1" si="2"/>
        <v>3412806.4218118279</v>
      </c>
      <c r="AP26" s="12">
        <f t="shared" ca="1" si="2"/>
        <v>1568720.9365049377</v>
      </c>
      <c r="AQ26" s="12">
        <f t="shared" ca="1" si="2"/>
        <v>3322145.0168607868</v>
      </c>
      <c r="AR26" s="12">
        <f t="shared" ca="1" si="2"/>
        <v>5740695.5675045755</v>
      </c>
      <c r="AS26" s="12">
        <f t="shared" ca="1" si="2"/>
        <v>2122968.3411050001</v>
      </c>
      <c r="AT26" s="12">
        <f t="shared" ca="1" si="2"/>
        <v>8140688.8356065191</v>
      </c>
      <c r="AU26" s="12">
        <f t="shared" ca="1" si="2"/>
        <v>7922380.3196304273</v>
      </c>
      <c r="AV26" s="12">
        <f t="shared" ca="1" si="2"/>
        <v>7669658.4343075529</v>
      </c>
      <c r="AW26" s="12">
        <f t="shared" ca="1" si="2"/>
        <v>-1720204.966976298</v>
      </c>
      <c r="AX26" s="12">
        <f t="shared" ca="1" si="2"/>
        <v>12469100.476428872</v>
      </c>
      <c r="AY26" s="12">
        <f t="shared" ca="1" si="2"/>
        <v>5883772.5464722803</v>
      </c>
      <c r="AZ26" s="12">
        <f t="shared" ca="1" si="2"/>
        <v>12283160.912048608</v>
      </c>
      <c r="BA26" s="12">
        <f t="shared" ca="1" si="2"/>
        <v>14649815.441642519</v>
      </c>
      <c r="BB26" s="12">
        <f t="shared" ca="1" si="2"/>
        <v>6819406.6848044237</v>
      </c>
      <c r="BC26" s="12">
        <f t="shared" ca="1" si="2"/>
        <v>14229343.095635004</v>
      </c>
      <c r="BD26" s="12">
        <f t="shared" ca="1" si="2"/>
        <v>16482416.944712285</v>
      </c>
      <c r="BE26" s="12">
        <f t="shared" ca="1" si="2"/>
        <v>7274156.5748646278</v>
      </c>
      <c r="BF26" s="12">
        <f t="shared" ca="1" si="2"/>
        <v>18687322.595373821</v>
      </c>
      <c r="BG26" s="12">
        <f t="shared" ca="1" si="2"/>
        <v>20865205.563421633</v>
      </c>
      <c r="BH26" s="12">
        <f t="shared" ca="1" si="2"/>
        <v>11912345.556663362</v>
      </c>
      <c r="BI26" s="12">
        <f t="shared" ca="1" si="2"/>
        <v>-1626463.8594327904</v>
      </c>
      <c r="BJ26" s="12">
        <f t="shared" ca="1" si="2"/>
        <v>25171446.218490042</v>
      </c>
      <c r="BK26" s="12">
        <f t="shared" ca="1" si="2"/>
        <v>13437159.862629097</v>
      </c>
      <c r="BL26" s="12">
        <f t="shared" ca="1" si="2"/>
        <v>27068386.874148738</v>
      </c>
      <c r="BM26" s="12">
        <f t="shared" ca="1" si="2"/>
        <v>29239695.93333656</v>
      </c>
      <c r="BN26" s="12">
        <f t="shared" ca="1" si="2"/>
        <v>15291526.113684423</v>
      </c>
      <c r="BO26" s="12">
        <f t="shared" ca="1" si="2"/>
        <v>31066601.956224069</v>
      </c>
      <c r="BP26" s="12">
        <f t="shared" ca="1" si="2"/>
        <v>33094749.654378615</v>
      </c>
      <c r="BQ26" s="12">
        <f t="shared" ca="1" si="2"/>
        <v>18809147.40741425</v>
      </c>
    </row>
    <row r="28" spans="5:6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InpS!J$11</f>
        <v>0</v>
      </c>
      <c r="K28" s="10">
        <f xml:space="preserve"> InpS!K$11</f>
        <v>0</v>
      </c>
      <c r="L28" s="10">
        <f xml:space="preserve"> InpS!L$11</f>
        <v>0</v>
      </c>
      <c r="M28" s="10">
        <f xml:space="preserve"> InpS!M$11</f>
        <v>0</v>
      </c>
      <c r="N28" s="10">
        <f xml:space="preserve"> InpS!N$11</f>
        <v>0</v>
      </c>
      <c r="O28" s="10">
        <f xml:space="preserve"> InpS!O$11</f>
        <v>0</v>
      </c>
      <c r="P28" s="10">
        <f xml:space="preserve"> InpS!P$11</f>
        <v>0</v>
      </c>
      <c r="Q28" s="10">
        <f xml:space="preserve"> InpS!Q$11</f>
        <v>0</v>
      </c>
      <c r="R28" s="10">
        <f xml:space="preserve"> InpS!R$11</f>
        <v>0</v>
      </c>
      <c r="S28" s="10">
        <f xml:space="preserve"> InpS!S$11</f>
        <v>0</v>
      </c>
      <c r="T28" s="10">
        <f xml:space="preserve"> InpS!T$11</f>
        <v>0</v>
      </c>
      <c r="U28" s="10">
        <f xml:space="preserve"> InpS!U$11</f>
        <v>0</v>
      </c>
      <c r="V28" s="10">
        <f xml:space="preserve"> InpS!V$11</f>
        <v>0</v>
      </c>
      <c r="W28" s="10">
        <f xml:space="preserve"> InpS!W$11</f>
        <v>0</v>
      </c>
      <c r="X28" s="10">
        <f xml:space="preserve"> InpS!X$11</f>
        <v>0</v>
      </c>
      <c r="Y28" s="10">
        <f xml:space="preserve"> InpS!Y$11</f>
        <v>0</v>
      </c>
      <c r="Z28" s="10">
        <f xml:space="preserve"> InpS!Z$11</f>
        <v>0</v>
      </c>
      <c r="AA28" s="10">
        <f xml:space="preserve"> InpS!AA$11</f>
        <v>0</v>
      </c>
      <c r="AB28" s="10">
        <f xml:space="preserve"> InpS!AB$11</f>
        <v>0</v>
      </c>
      <c r="AC28" s="10">
        <f xml:space="preserve"> InpS!AC$11</f>
        <v>0</v>
      </c>
      <c r="AD28" s="10">
        <f xml:space="preserve"> InpS!AD$11</f>
        <v>0</v>
      </c>
      <c r="AE28" s="10">
        <f xml:space="preserve"> InpS!AE$11</f>
        <v>0</v>
      </c>
      <c r="AF28" s="10">
        <f xml:space="preserve"> InpS!AF$11</f>
        <v>0</v>
      </c>
      <c r="AG28" s="10">
        <f xml:space="preserve"> InpS!AG$11</f>
        <v>0</v>
      </c>
      <c r="AH28" s="10">
        <f xml:space="preserve"> InpS!AH$11</f>
        <v>0</v>
      </c>
      <c r="AI28" s="10">
        <f xml:space="preserve"> InpS!AI$11</f>
        <v>0</v>
      </c>
      <c r="AJ28" s="10">
        <f xml:space="preserve"> InpS!AJ$11</f>
        <v>0</v>
      </c>
      <c r="AK28" s="10">
        <f xml:space="preserve"> InpS!AK$11</f>
        <v>0</v>
      </c>
      <c r="AL28" s="10">
        <f xml:space="preserve"> InpS!AL$11</f>
        <v>0</v>
      </c>
      <c r="AM28" s="10">
        <f xml:space="preserve"> InpS!AM$11</f>
        <v>0</v>
      </c>
      <c r="AN28" s="10">
        <f xml:space="preserve"> InpS!AN$11</f>
        <v>0</v>
      </c>
      <c r="AO28" s="10">
        <f xml:space="preserve"> InpS!AO$11</f>
        <v>0</v>
      </c>
      <c r="AP28" s="10">
        <f xml:space="preserve"> InpS!AP$11</f>
        <v>0</v>
      </c>
      <c r="AQ28" s="10">
        <f xml:space="preserve"> InpS!AQ$11</f>
        <v>0</v>
      </c>
      <c r="AR28" s="10">
        <f xml:space="preserve"> InpS!AR$11</f>
        <v>0</v>
      </c>
      <c r="AS28" s="10">
        <f xml:space="preserve"> InpS!AS$11</f>
        <v>0</v>
      </c>
      <c r="AT28" s="10">
        <f xml:space="preserve"> InpS!AT$11</f>
        <v>0</v>
      </c>
      <c r="AU28" s="10">
        <f xml:space="preserve"> InpS!AU$11</f>
        <v>0</v>
      </c>
      <c r="AV28" s="10">
        <f xml:space="preserve"> InpS!AV$11</f>
        <v>0</v>
      </c>
      <c r="AW28" s="10">
        <f xml:space="preserve"> InpS!AW$11</f>
        <v>0</v>
      </c>
      <c r="AX28" s="10">
        <f xml:space="preserve"> InpS!AX$11</f>
        <v>0</v>
      </c>
      <c r="AY28" s="10">
        <f xml:space="preserve"> InpS!AY$11</f>
        <v>0</v>
      </c>
      <c r="AZ28" s="10">
        <f xml:space="preserve"> InpS!AZ$11</f>
        <v>0</v>
      </c>
      <c r="BA28" s="10">
        <f xml:space="preserve"> InpS!BA$11</f>
        <v>0</v>
      </c>
      <c r="BB28" s="10">
        <f xml:space="preserve"> InpS!BB$11</f>
        <v>0</v>
      </c>
      <c r="BC28" s="10">
        <f xml:space="preserve"> InpS!BC$11</f>
        <v>0</v>
      </c>
      <c r="BD28" s="10">
        <f xml:space="preserve"> InpS!BD$11</f>
        <v>0</v>
      </c>
      <c r="BE28" s="10">
        <f xml:space="preserve"> InpS!BE$11</f>
        <v>0</v>
      </c>
      <c r="BF28" s="10">
        <f xml:space="preserve"> InpS!BF$11</f>
        <v>0</v>
      </c>
      <c r="BG28" s="10">
        <f xml:space="preserve"> InpS!BG$11</f>
        <v>0</v>
      </c>
      <c r="BH28" s="10">
        <f xml:space="preserve"> InpS!BH$11</f>
        <v>0</v>
      </c>
      <c r="BI28" s="10">
        <f xml:space="preserve"> InpS!BI$11</f>
        <v>0</v>
      </c>
      <c r="BJ28" s="10">
        <f xml:space="preserve"> InpS!BJ$11</f>
        <v>0</v>
      </c>
      <c r="BK28" s="10">
        <f xml:space="preserve"> InpS!BK$11</f>
        <v>0</v>
      </c>
      <c r="BL28" s="10">
        <f xml:space="preserve"> InpS!BL$11</f>
        <v>0</v>
      </c>
      <c r="BM28" s="10">
        <f xml:space="preserve"> InpS!BM$11</f>
        <v>0</v>
      </c>
      <c r="BN28" s="10">
        <f xml:space="preserve"> InpS!BN$11</f>
        <v>0</v>
      </c>
      <c r="BO28" s="10">
        <f xml:space="preserve"> InpS!BO$11</f>
        <v>0</v>
      </c>
      <c r="BP28" s="10">
        <f xml:space="preserve"> InpS!BP$11</f>
        <v>0</v>
      </c>
      <c r="BQ28" s="10">
        <f xml:space="preserve"> InpS!BQ$11</f>
        <v>0</v>
      </c>
    </row>
    <row r="29" spans="5:69">
      <c r="E29" s="12" t="s">
        <v>114</v>
      </c>
      <c r="F29" s="30"/>
      <c r="G29" s="12" t="s">
        <v>257</v>
      </c>
      <c r="H29" s="54">
        <f ca="1" xml:space="preserve"> SUM( J29:BQ29 )</f>
        <v>419383336.21187401</v>
      </c>
      <c r="I29" s="30"/>
      <c r="J29" s="12">
        <f t="shared" ref="J29:BQ29" ca="1" si="3" xml:space="preserve"> J26 + J28</f>
        <v>-73700</v>
      </c>
      <c r="K29" s="12">
        <f t="shared" ca="1" si="3"/>
        <v>-73700</v>
      </c>
      <c r="L29" s="12">
        <f t="shared" ca="1" si="3"/>
        <v>-165300</v>
      </c>
      <c r="M29" s="12">
        <f t="shared" ca="1" si="3"/>
        <v>-179368.64253648007</v>
      </c>
      <c r="N29" s="12">
        <f t="shared" ca="1" si="3"/>
        <v>736231.3574635199</v>
      </c>
      <c r="O29" s="12">
        <f t="shared" ca="1" si="3"/>
        <v>239852.92883378902</v>
      </c>
      <c r="P29" s="12">
        <f t="shared" ca="1" si="3"/>
        <v>231546.45736916387</v>
      </c>
      <c r="Q29" s="12">
        <f t="shared" ca="1" si="3"/>
        <v>244146.45736916387</v>
      </c>
      <c r="R29" s="12">
        <f t="shared" ca="1" si="3"/>
        <v>1229153.3417144502</v>
      </c>
      <c r="S29" s="12">
        <f t="shared" ca="1" si="3"/>
        <v>957444.90442621405</v>
      </c>
      <c r="T29" s="12">
        <f t="shared" ca="1" si="3"/>
        <v>453444.90442621411</v>
      </c>
      <c r="U29" s="12">
        <f t="shared" ca="1" si="3"/>
        <v>-1127558.3925030218</v>
      </c>
      <c r="V29" s="12">
        <f t="shared" ca="1" si="3"/>
        <v>4471014.0252030026</v>
      </c>
      <c r="W29" s="12">
        <f t="shared" ca="1" si="3"/>
        <v>-289538.73315946513</v>
      </c>
      <c r="X29" s="12">
        <f t="shared" ca="1" si="3"/>
        <v>2926575.9116698531</v>
      </c>
      <c r="Y29" s="12">
        <f t="shared" ca="1" si="3"/>
        <v>2651347.0244624694</v>
      </c>
      <c r="Z29" s="12">
        <f t="shared" ca="1" si="3"/>
        <v>1474316.4672711091</v>
      </c>
      <c r="AA29" s="12">
        <f t="shared" ca="1" si="3"/>
        <v>3882403.5337576102</v>
      </c>
      <c r="AB29" s="12">
        <f t="shared" ca="1" si="3"/>
        <v>146396.82684492937</v>
      </c>
      <c r="AC29" s="12">
        <f t="shared" ca="1" si="3"/>
        <v>569.40793068800122</v>
      </c>
      <c r="AD29" s="12">
        <f t="shared" ca="1" si="3"/>
        <v>1422351.483218204</v>
      </c>
      <c r="AE29" s="12">
        <f t="shared" ca="1" si="3"/>
        <v>815890.67034797138</v>
      </c>
      <c r="AF29" s="12">
        <f t="shared" ca="1" si="3"/>
        <v>287415.94566986582</v>
      </c>
      <c r="AG29" s="12">
        <f t="shared" ca="1" si="3"/>
        <v>74661.194210084213</v>
      </c>
      <c r="AH29" s="12">
        <f t="shared" ca="1" si="3"/>
        <v>6743670.1566248611</v>
      </c>
      <c r="AI29" s="12">
        <f t="shared" ca="1" si="3"/>
        <v>1475064.6398999251</v>
      </c>
      <c r="AJ29" s="12">
        <f t="shared" ca="1" si="3"/>
        <v>6381961.130851822</v>
      </c>
      <c r="AK29" s="12">
        <f t="shared" ca="1" si="3"/>
        <v>1123298.2141068205</v>
      </c>
      <c r="AL29" s="12">
        <f t="shared" ca="1" si="3"/>
        <v>4671130.7151278798</v>
      </c>
      <c r="AM29" s="12">
        <f t="shared" ca="1" si="3"/>
        <v>3555084.2730054427</v>
      </c>
      <c r="AN29" s="12">
        <f t="shared" ca="1" si="3"/>
        <v>3809374.5489722099</v>
      </c>
      <c r="AO29" s="12">
        <f t="shared" ca="1" si="3"/>
        <v>3412806.4218118279</v>
      </c>
      <c r="AP29" s="12">
        <f t="shared" ca="1" si="3"/>
        <v>1568720.9365049377</v>
      </c>
      <c r="AQ29" s="12">
        <f t="shared" ca="1" si="3"/>
        <v>3322145.0168607868</v>
      </c>
      <c r="AR29" s="12">
        <f t="shared" ca="1" si="3"/>
        <v>5740695.5675045755</v>
      </c>
      <c r="AS29" s="12">
        <f t="shared" ca="1" si="3"/>
        <v>2122968.3411050001</v>
      </c>
      <c r="AT29" s="12">
        <f t="shared" ca="1" si="3"/>
        <v>8140688.8356065191</v>
      </c>
      <c r="AU29" s="12">
        <f t="shared" ca="1" si="3"/>
        <v>7922380.3196304273</v>
      </c>
      <c r="AV29" s="12">
        <f t="shared" ca="1" si="3"/>
        <v>7669658.4343075529</v>
      </c>
      <c r="AW29" s="12">
        <f t="shared" ca="1" si="3"/>
        <v>-1720204.966976298</v>
      </c>
      <c r="AX29" s="12">
        <f t="shared" ca="1" si="3"/>
        <v>12469100.476428872</v>
      </c>
      <c r="AY29" s="12">
        <f t="shared" ca="1" si="3"/>
        <v>5883772.5464722803</v>
      </c>
      <c r="AZ29" s="12">
        <f t="shared" ca="1" si="3"/>
        <v>12283160.912048608</v>
      </c>
      <c r="BA29" s="12">
        <f t="shared" ca="1" si="3"/>
        <v>14649815.441642519</v>
      </c>
      <c r="BB29" s="12">
        <f t="shared" ca="1" si="3"/>
        <v>6819406.6848044237</v>
      </c>
      <c r="BC29" s="12">
        <f t="shared" ca="1" si="3"/>
        <v>14229343.095635004</v>
      </c>
      <c r="BD29" s="12">
        <f t="shared" ca="1" si="3"/>
        <v>16482416.944712285</v>
      </c>
      <c r="BE29" s="12">
        <f t="shared" ca="1" si="3"/>
        <v>7274156.5748646278</v>
      </c>
      <c r="BF29" s="12">
        <f t="shared" ca="1" si="3"/>
        <v>18687322.595373821</v>
      </c>
      <c r="BG29" s="12">
        <f t="shared" ca="1" si="3"/>
        <v>20865205.563421633</v>
      </c>
      <c r="BH29" s="12">
        <f t="shared" ca="1" si="3"/>
        <v>11912345.556663362</v>
      </c>
      <c r="BI29" s="12">
        <f t="shared" ca="1" si="3"/>
        <v>-1626463.8594327904</v>
      </c>
      <c r="BJ29" s="12">
        <f t="shared" ca="1" si="3"/>
        <v>25171446.218490042</v>
      </c>
      <c r="BK29" s="12">
        <f t="shared" ca="1" si="3"/>
        <v>13437159.862629097</v>
      </c>
      <c r="BL29" s="12">
        <f t="shared" ca="1" si="3"/>
        <v>27068386.874148738</v>
      </c>
      <c r="BM29" s="12">
        <f t="shared" ca="1" si="3"/>
        <v>29239695.93333656</v>
      </c>
      <c r="BN29" s="12">
        <f t="shared" ca="1" si="3"/>
        <v>15291526.113684423</v>
      </c>
      <c r="BO29" s="12">
        <f t="shared" ca="1" si="3"/>
        <v>31066601.956224069</v>
      </c>
      <c r="BP29" s="12">
        <f t="shared" ca="1" si="3"/>
        <v>33094749.654378615</v>
      </c>
      <c r="BQ29" s="12">
        <f t="shared" ca="1" si="3"/>
        <v>18809147.40741425</v>
      </c>
    </row>
  </sheetData>
  <conditionalFormatting sqref="F2:F3">
    <cfRule type="cellIs" dxfId="70" priority="1" stopIfTrue="1" operator="notEqual">
      <formula>0</formula>
    </cfRule>
    <cfRule type="cellIs" dxfId="69" priority="2" stopIfTrue="1" operator="equal">
      <formula>""</formula>
    </cfRule>
  </conditionalFormatting>
  <conditionalFormatting sqref="J3:BQ3">
    <cfRule type="cellIs" dxfId="68" priority="3" operator="equal">
      <formula>"PPA ext."</formula>
    </cfRule>
    <cfRule type="cellIs" dxfId="67" priority="4" operator="equal">
      <formula>"Delay"</formula>
    </cfRule>
    <cfRule type="cellIs" dxfId="66" priority="5" operator="equal">
      <formula>"Fin Close"</formula>
    </cfRule>
    <cfRule type="cellIs" dxfId="65" priority="6" stopIfTrue="1" operator="equal">
      <formula>"Construction"</formula>
    </cfRule>
    <cfRule type="cellIs" dxfId="6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4F81BD"/>
    <outlinePr summaryBelow="0" summaryRight="0"/>
  </sheetPr>
  <dimension ref="A1:AC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44" bestFit="1" customWidth="1"/>
    <col min="6" max="6" width="20.5546875" bestFit="1" customWidth="1"/>
    <col min="7" max="7" width="13.21875" bestFit="1" customWidth="1"/>
    <col min="8" max="8" width="15.109375" style="45"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5" width="13.21875" bestFit="1" customWidth="1"/>
    <col min="16" max="17" width="12.44140625" bestFit="1" customWidth="1"/>
    <col min="18" max="25" width="13.21875" bestFit="1" customWidth="1"/>
    <col min="26" max="27" width="13.88671875" bestFit="1" customWidth="1"/>
    <col min="28" max="29" width="14.44140625" bestFit="1" customWidth="1"/>
    <col min="30" max="30" width="15.109375" hidden="1" customWidth="1"/>
    <col min="31" max="16384" width="15.109375" hidden="1"/>
  </cols>
  <sheetData>
    <row r="1" spans="1:29" s="72" customFormat="1" ht="25">
      <c r="A1" s="46" t="str">
        <f ca="1" xml:space="preserve"> RIGHT(CELL("filename", A1), LEN(CELL("filename", A1)) - SEARCH("]", CELL("filename", A1)))</f>
        <v>Cashflow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'Working Capital'!E$22</f>
        <v>Cash in from Sales</v>
      </c>
      <c r="F8" s="17">
        <f xml:space="preserve"> 'Working Capital'!F$22</f>
        <v>0</v>
      </c>
      <c r="G8" s="17" t="str">
        <f xml:space="preserve"> 'Working Capital'!G$22</f>
        <v>GBP</v>
      </c>
      <c r="H8" s="44">
        <f ca="1" xml:space="preserve"> 'Working Capital'!H$22</f>
        <v>690480000</v>
      </c>
      <c r="I8" s="17">
        <f xml:space="preserve"> 'Working Capital'!I$22</f>
        <v>0</v>
      </c>
      <c r="J8" s="10">
        <f ca="1" xml:space="preserve"> SUMIF( Time!$J332:$BQ332, Time!J$28, 'Working Capital'!$J22:$BQ22)</f>
        <v>0</v>
      </c>
      <c r="K8" s="10">
        <f ca="1" xml:space="preserve"> SUMIF( Time!$J332:$BQ332, Time!K$28, 'Working Capital'!$J22:$BQ22)</f>
        <v>1512000</v>
      </c>
      <c r="L8" s="10">
        <f ca="1" xml:space="preserve"> SUMIF( Time!$J332:$BQ332, Time!L$28, 'Working Capital'!$J22:$BQ22)</f>
        <v>3528000</v>
      </c>
      <c r="M8" s="10">
        <f ca="1" xml:space="preserve"> SUMIF( Time!$J332:$BQ332, Time!M$28, 'Working Capital'!$J22:$BQ22)</f>
        <v>2520000</v>
      </c>
      <c r="N8" s="10">
        <f ca="1" xml:space="preserve"> SUMIF( Time!$J332:$BQ332, Time!N$28, 'Working Capital'!$J22:$BQ22)</f>
        <v>10080000</v>
      </c>
      <c r="O8" s="10">
        <f ca="1" xml:space="preserve"> SUMIF( Time!$J332:$BQ332, Time!O$28, 'Working Capital'!$J22:$BQ22)</f>
        <v>11519253.289331898</v>
      </c>
      <c r="P8" s="10">
        <f ca="1" xml:space="preserve"> SUMIF( Time!$J332:$BQ332, Time!P$28, 'Working Capital'!$J22:$BQ22)</f>
        <v>3600746.7106681005</v>
      </c>
      <c r="Q8" s="10">
        <f ca="1" xml:space="preserve"> SUMIF( Time!$J332:$BQ332, Time!Q$28, 'Working Capital'!$J22:$BQ22)</f>
        <v>5040000</v>
      </c>
      <c r="R8" s="10">
        <f ca="1" xml:space="preserve"> SUMIF( Time!$J332:$BQ332, Time!R$28, 'Working Capital'!$J22:$BQ22)</f>
        <v>20160000</v>
      </c>
      <c r="S8" s="10">
        <f ca="1" xml:space="preserve"> SUMIF( Time!$J332:$BQ332, Time!S$28, 'Working Capital'!$J22:$BQ22)</f>
        <v>20087253.289331898</v>
      </c>
      <c r="T8" s="10">
        <f ca="1" xml:space="preserve"> SUMIF( Time!$J332:$BQ332, Time!T$28, 'Working Capital'!$J22:$BQ22)</f>
        <v>15192746.710668102</v>
      </c>
      <c r="U8" s="10">
        <f ca="1" xml:space="preserve"> SUMIF( Time!$J332:$BQ332, Time!U$28, 'Working Capital'!$J22:$BQ22)</f>
        <v>20160000</v>
      </c>
      <c r="V8" s="10">
        <f ca="1" xml:space="preserve"> SUMIF( Time!$J332:$BQ332, Time!V$28, 'Working Capital'!$J22:$BQ22)</f>
        <v>35280000</v>
      </c>
      <c r="W8" s="10">
        <f ca="1" xml:space="preserve"> SUMIF( Time!$J332:$BQ332, Time!W$28, 'Working Capital'!$J22:$BQ22)</f>
        <v>40320000</v>
      </c>
      <c r="X8" s="10">
        <f ca="1" xml:space="preserve"> SUMIF( Time!$J332:$BQ332, Time!X$28, 'Working Capital'!$J22:$BQ22)</f>
        <v>50400000</v>
      </c>
      <c r="Y8" s="10">
        <f ca="1" xml:space="preserve"> SUMIF( Time!$J332:$BQ332, Time!Y$28, 'Working Capital'!$J22:$BQ22)</f>
        <v>57960000</v>
      </c>
      <c r="Z8" s="10">
        <f ca="1" xml:space="preserve"> SUMIF( Time!$J332:$BQ332, Time!Z$28, 'Working Capital'!$J22:$BQ22)</f>
        <v>75600000</v>
      </c>
      <c r="AA8" s="10">
        <f ca="1" xml:space="preserve"> SUMIF( Time!$J332:$BQ332, Time!AA$28, 'Working Capital'!$J22:$BQ22)</f>
        <v>88200000</v>
      </c>
      <c r="AB8" s="10">
        <f ca="1" xml:space="preserve"> SUMIF( Time!$J332:$BQ332, Time!AB$28, 'Working Capital'!$J22:$BQ22)</f>
        <v>105840000</v>
      </c>
      <c r="AC8" s="10">
        <f ca="1" xml:space="preserve"> SUMIF( Time!$J332:$BQ332, Time!AC$28, 'Working Capital'!$J22:$BQ22)</f>
        <v>123480000</v>
      </c>
    </row>
    <row r="9" spans="1:29">
      <c r="E9" s="17" t="str">
        <f xml:space="preserve"> 'Working Capital'!E$52</f>
        <v xml:space="preserve">Cash out on Operating Expense </v>
      </c>
      <c r="F9" s="17">
        <f xml:space="preserve"> 'Working Capital'!F$52</f>
        <v>0</v>
      </c>
      <c r="G9" s="17" t="str">
        <f xml:space="preserve"> 'Working Capital'!G$52</f>
        <v>GBP</v>
      </c>
      <c r="H9" s="44">
        <f ca="1" xml:space="preserve"> 'Working Capital'!H$52</f>
        <v>-78274069.097712979</v>
      </c>
      <c r="I9" s="17">
        <f xml:space="preserve"> 'Working Capital'!I$52</f>
        <v>0</v>
      </c>
      <c r="J9" s="10">
        <f ca="1" xml:space="preserve"> SUMIF( Time!$J332:$BQ332, Time!J$28, 'Working Capital'!$J52:$BQ52)</f>
        <v>-221100</v>
      </c>
      <c r="K9" s="10">
        <f ca="1" xml:space="preserve"> SUMIF( Time!$J332:$BQ332, Time!K$28, 'Working Capital'!$J52:$BQ52)</f>
        <v>-407905.92760944017</v>
      </c>
      <c r="L9" s="10">
        <f ca="1" xml:space="preserve"> SUMIF( Time!$J332:$BQ332, Time!L$28, 'Working Capital'!$J52:$BQ52)</f>
        <v>-687160.6278925084</v>
      </c>
      <c r="M9" s="10">
        <f ca="1" xml:space="preserve"> SUMIF( Time!$J332:$BQ332, Time!M$28, 'Working Capital'!$J52:$BQ52)</f>
        <v>-781665.28672135761</v>
      </c>
      <c r="N9" s="10">
        <f ca="1" xml:space="preserve"> SUMIF( Time!$J332:$BQ332, Time!N$28, 'Working Capital'!$J52:$BQ52)</f>
        <v>-869481.55152209103</v>
      </c>
      <c r="O9" s="10">
        <f ca="1" xml:space="preserve"> SUMIF( Time!$J332:$BQ332, Time!O$28, 'Working Capital'!$J52:$BQ52)</f>
        <v>-1019038.6876377477</v>
      </c>
      <c r="P9" s="10">
        <f ca="1" xml:space="preserve"> SUMIF( Time!$J332:$BQ332, Time!P$28, 'Working Capital'!$J52:$BQ52)</f>
        <v>-1196515.5688043572</v>
      </c>
      <c r="Q9" s="10">
        <f ca="1" xml:space="preserve"> SUMIF( Time!$J332:$BQ332, Time!Q$28, 'Working Capital'!$J52:$BQ52)</f>
        <v>-1407207.5058533547</v>
      </c>
      <c r="R9" s="10">
        <f ca="1" xml:space="preserve"> SUMIF( Time!$J332:$BQ332, Time!R$28, 'Working Capital'!$J52:$BQ52)</f>
        <v>-1782036.7843876155</v>
      </c>
      <c r="S9" s="10">
        <f ca="1" xml:space="preserve"> SUMIF( Time!$J332:$BQ332, Time!S$28, 'Working Capital'!$J52:$BQ52)</f>
        <v>-2245465.0268747816</v>
      </c>
      <c r="T9" s="10">
        <f ca="1" xml:space="preserve"> SUMIF( Time!$J332:$BQ332, Time!T$28, 'Working Capital'!$J52:$BQ52)</f>
        <v>-2847868.3197573591</v>
      </c>
      <c r="U9" s="10">
        <f ca="1" xml:space="preserve"> SUMIF( Time!$J332:$BQ332, Time!U$28, 'Working Capital'!$J52:$BQ52)</f>
        <v>-3350323.9832121776</v>
      </c>
      <c r="V9" s="10">
        <f ca="1" xml:space="preserve"> SUMIF( Time!$J332:$BQ332, Time!V$28, 'Working Capital'!$J52:$BQ52)</f>
        <v>-3925599.2661228278</v>
      </c>
      <c r="W9" s="10">
        <f ca="1" xml:space="preserve"> SUMIF( Time!$J332:$BQ332, Time!W$28, 'Working Capital'!$J52:$BQ52)</f>
        <v>-4650241.076469373</v>
      </c>
      <c r="X9" s="10">
        <f ca="1" xml:space="preserve"> SUMIF( Time!$J332:$BQ332, Time!X$28, 'Working Capital'!$J52:$BQ52)</f>
        <v>-5511550.2587949084</v>
      </c>
      <c r="Y9" s="10">
        <f ca="1" xml:space="preserve"> SUMIF( Time!$J332:$BQ332, Time!Y$28, 'Working Capital'!$J52:$BQ52)</f>
        <v>-6535380.3458916061</v>
      </c>
      <c r="Z9" s="10">
        <f ca="1" xml:space="preserve"> SUMIF( Time!$J332:$BQ332, Time!Z$28, 'Working Capital'!$J52:$BQ52)</f>
        <v>-7752363.7597633135</v>
      </c>
      <c r="AA9" s="10">
        <f ca="1" xml:space="preserve"> SUMIF( Time!$J332:$BQ332, Time!AA$28, 'Working Capital'!$J52:$BQ52)</f>
        <v>-9199246.3560418487</v>
      </c>
      <c r="AB9" s="10">
        <f ca="1" xml:space="preserve"> SUMIF( Time!$J332:$BQ332, Time!AB$28, 'Working Capital'!$J52:$BQ52)</f>
        <v>-10919405.367435254</v>
      </c>
      <c r="AC9" s="10">
        <f ca="1" xml:space="preserve"> SUMIF( Time!$J332:$BQ332, Time!AC$28, 'Working Capital'!$J52:$BQ52)</f>
        <v>-12964513.396921052</v>
      </c>
    </row>
    <row r="10" spans="1:29">
      <c r="E10" s="17" t="str">
        <f xml:space="preserve"> VAT!E$38</f>
        <v xml:space="preserve">VAT paid </v>
      </c>
      <c r="F10" s="17">
        <f xml:space="preserve"> VAT!F$38</f>
        <v>0</v>
      </c>
      <c r="G10" s="17" t="str">
        <f xml:space="preserve"> VAT!G$38</f>
        <v>GBP</v>
      </c>
      <c r="H10" s="44">
        <f ca="1" xml:space="preserve"> VAT!H$38</f>
        <v>-105089708.7190737</v>
      </c>
      <c r="I10" s="17">
        <f xml:space="preserve"> VAT!I$38</f>
        <v>0</v>
      </c>
      <c r="J10" s="10">
        <f ca="1" xml:space="preserve"> SUMIF( Time!$J332:$BQ332, Time!J$28, VAT!$J38:$BQ38)</f>
        <v>13400</v>
      </c>
      <c r="K10" s="10">
        <f ca="1" xml:space="preserve"> SUMIF( Time!$J332:$BQ332, Time!K$28, VAT!$J38:$BQ38)</f>
        <v>-97378.428629730886</v>
      </c>
      <c r="L10" s="10">
        <f ca="1" xml:space="preserve"> SUMIF( Time!$J332:$BQ332, Time!L$28, VAT!$J38:$BQ38)</f>
        <v>-631993.11565471347</v>
      </c>
      <c r="M10" s="10">
        <f ca="1" xml:space="preserve"> SUMIF( Time!$J332:$BQ332, Time!M$28, VAT!$J38:$BQ38)</f>
        <v>-867003.2969292358</v>
      </c>
      <c r="N10" s="10">
        <f ca="1" xml:space="preserve"> SUMIF( Time!$J332:$BQ332, Time!N$28, VAT!$J38:$BQ38)</f>
        <v>-1461967.2447645178</v>
      </c>
      <c r="O10" s="10">
        <f ca="1" xml:space="preserve"> SUMIF( Time!$J332:$BQ332, Time!O$28, VAT!$J38:$BQ38)</f>
        <v>-1126177.8940359142</v>
      </c>
      <c r="P10" s="10">
        <f ca="1" xml:space="preserve"> SUMIF( Time!$J332:$BQ332, Time!P$28, VAT!$J38:$BQ38)</f>
        <v>-477913.42386992206</v>
      </c>
      <c r="Q10" s="10">
        <f ca="1" xml:space="preserve"> SUMIF( Time!$J332:$BQ332, Time!Q$28, VAT!$J38:$BQ38)</f>
        <v>-1551824.6839187241</v>
      </c>
      <c r="R10" s="10">
        <f ca="1" xml:space="preserve"> SUMIF( Time!$J332:$BQ332, Time!R$28, VAT!$J38:$BQ38)</f>
        <v>-2821767.2882357761</v>
      </c>
      <c r="S10" s="10">
        <f ca="1" xml:space="preserve"> SUMIF( Time!$J332:$BQ332, Time!S$28, VAT!$J38:$BQ38)</f>
        <v>-2615976.0760499444</v>
      </c>
      <c r="T10" s="10">
        <f ca="1" xml:space="preserve"> SUMIF( Time!$J332:$BQ332, Time!T$28, VAT!$J38:$BQ38)</f>
        <v>-1894976.4836217663</v>
      </c>
      <c r="U10" s="10">
        <f ca="1" xml:space="preserve"> SUMIF( Time!$J332:$BQ332, Time!U$28, VAT!$J38:$BQ38)</f>
        <v>-3418867.0913174599</v>
      </c>
      <c r="V10" s="10">
        <f ca="1" xml:space="preserve"> SUMIF( Time!$J332:$BQ332, Time!V$28, VAT!$J38:$BQ38)</f>
        <v>-5017673.1443326734</v>
      </c>
      <c r="W10" s="10">
        <f ca="1" xml:space="preserve"> SUMIF( Time!$J332:$BQ332, Time!W$28, VAT!$J38:$BQ38)</f>
        <v>-6495484.829641548</v>
      </c>
      <c r="X10" s="10">
        <f ca="1" xml:space="preserve"> SUMIF( Time!$J332:$BQ332, Time!X$28, VAT!$J38:$BQ38)</f>
        <v>-7576566.7027095417</v>
      </c>
      <c r="Y10" s="10">
        <f ca="1" xml:space="preserve"> SUMIF( Time!$J332:$BQ332, Time!Y$28, VAT!$J38:$BQ38)</f>
        <v>-9028703.0388964768</v>
      </c>
      <c r="Z10" s="10">
        <f ca="1" xml:space="preserve"> SUMIF( Time!$J332:$BQ332, Time!Z$28, VAT!$J38:$BQ38)</f>
        <v>-11269262.524777869</v>
      </c>
      <c r="AA10" s="10">
        <f ca="1" xml:space="preserve"> SUMIF( Time!$J332:$BQ332, Time!AA$28, VAT!$J38:$BQ38)</f>
        <v>-13875100.155230857</v>
      </c>
      <c r="AB10" s="10">
        <f ca="1" xml:space="preserve"> SUMIF( Time!$J332:$BQ332, Time!AB$28, VAT!$J38:$BQ38)</f>
        <v>-16002485.711395023</v>
      </c>
      <c r="AC10" s="10">
        <f ca="1" xml:space="preserve"> SUMIF( Time!$J332:$BQ332, Time!AC$28, VAT!$J38:$BQ38)</f>
        <v>-18871987.585062012</v>
      </c>
    </row>
    <row r="11" spans="1:29">
      <c r="E11" s="17" t="str">
        <f xml:space="preserve"> 'Corporation tax'!E$69</f>
        <v xml:space="preserve">Corporation tax paid </v>
      </c>
      <c r="F11" s="17">
        <f xml:space="preserve"> 'Corporation tax'!F$69</f>
        <v>0</v>
      </c>
      <c r="G11" s="17" t="str">
        <f xml:space="preserve"> 'Corporation tax'!G$69</f>
        <v>GBP</v>
      </c>
      <c r="H11" s="44">
        <f ca="1" xml:space="preserve"> 'Corporation tax'!H$69</f>
        <v>-37038885.971339248</v>
      </c>
      <c r="I11" s="17">
        <f xml:space="preserve"> 'Corporation tax'!I$69</f>
        <v>0</v>
      </c>
      <c r="J11" s="10">
        <f ca="1" xml:space="preserve"> SUMIF( Time!$J332:$BQ332, Time!J$28, 'Corporation tax'!$J69:$BQ69)</f>
        <v>0</v>
      </c>
      <c r="K11" s="10">
        <f ca="1" xml:space="preserve"> SUMIF( Time!$J332:$BQ332, Time!K$28, 'Corporation tax'!$J69:$BQ69)</f>
        <v>0</v>
      </c>
      <c r="L11" s="10">
        <f ca="1" xml:space="preserve"> SUMIF( Time!$J332:$BQ332, Time!L$28, 'Corporation tax'!$J69:$BQ69)</f>
        <v>0</v>
      </c>
      <c r="M11" s="10">
        <f ca="1" xml:space="preserve"> SUMIF( Time!$J332:$BQ332, Time!M$28, 'Corporation tax'!$J69:$BQ69)</f>
        <v>0</v>
      </c>
      <c r="N11" s="10">
        <f ca="1" xml:space="preserve"> SUMIF( Time!$J332:$BQ332, Time!N$28, 'Corporation tax'!$J69:$BQ69)</f>
        <v>0</v>
      </c>
      <c r="O11" s="10">
        <f ca="1" xml:space="preserve"> SUMIF( Time!$J332:$BQ332, Time!O$28, 'Corporation tax'!$J69:$BQ69)</f>
        <v>-1155969.6821670486</v>
      </c>
      <c r="P11" s="10">
        <f ca="1" xml:space="preserve"> SUMIF( Time!$J332:$BQ332, Time!P$28, 'Corporation tax'!$J69:$BQ69)</f>
        <v>0</v>
      </c>
      <c r="Q11" s="10">
        <f ca="1" xml:space="preserve"> SUMIF( Time!$J332:$BQ332, Time!Q$28, 'Corporation tax'!$J69:$BQ69)</f>
        <v>0</v>
      </c>
      <c r="R11" s="10">
        <f ca="1" xml:space="preserve"> SUMIF( Time!$J332:$BQ332, Time!R$28, 'Corporation tax'!$J69:$BQ69)</f>
        <v>0</v>
      </c>
      <c r="S11" s="10">
        <f ca="1" xml:space="preserve"> SUMIF( Time!$J332:$BQ332, Time!S$28, 'Corporation tax'!$J69:$BQ69)</f>
        <v>-4469298.9841670301</v>
      </c>
      <c r="T11" s="10">
        <f ca="1" xml:space="preserve"> SUMIF( Time!$J332:$BQ332, Time!T$28, 'Corporation tax'!$J69:$BQ69)</f>
        <v>0</v>
      </c>
      <c r="U11" s="10">
        <f ca="1" xml:space="preserve"> SUMIF( Time!$J332:$BQ332, Time!U$28, 'Corporation tax'!$J69:$BQ69)</f>
        <v>0</v>
      </c>
      <c r="V11" s="10">
        <f ca="1" xml:space="preserve"> SUMIF( Time!$J332:$BQ332, Time!V$28, 'Corporation tax'!$J69:$BQ69)</f>
        <v>0</v>
      </c>
      <c r="W11" s="10">
        <f ca="1" xml:space="preserve"> SUMIF( Time!$J332:$BQ332, Time!W$28, 'Corporation tax'!$J69:$BQ69)</f>
        <v>-9433606.0379642248</v>
      </c>
      <c r="X11" s="10">
        <f ca="1" xml:space="preserve"> SUMIF( Time!$J332:$BQ332, Time!X$28, 'Corporation tax'!$J69:$BQ69)</f>
        <v>0</v>
      </c>
      <c r="Y11" s="10">
        <f ca="1" xml:space="preserve"> SUMIF( Time!$J332:$BQ332, Time!Y$28, 'Corporation tax'!$J69:$BQ69)</f>
        <v>0</v>
      </c>
      <c r="Z11" s="10">
        <f ca="1" xml:space="preserve"> SUMIF( Time!$J332:$BQ332, Time!Z$28, 'Corporation tax'!$J69:$BQ69)</f>
        <v>0</v>
      </c>
      <c r="AA11" s="10">
        <f ca="1" xml:space="preserve"> SUMIF( Time!$J332:$BQ332, Time!AA$28, 'Corporation tax'!$J69:$BQ69)</f>
        <v>-21980011.267040946</v>
      </c>
      <c r="AB11" s="10">
        <f ca="1" xml:space="preserve"> SUMIF( Time!$J332:$BQ332, Time!AB$28, 'Corporation tax'!$J69:$BQ69)</f>
        <v>0</v>
      </c>
      <c r="AC11" s="10">
        <f ca="1" xml:space="preserve"> SUMIF( Time!$J332:$BQ332, Time!AC$28, 'Corporation tax'!$J69:$BQ69)</f>
        <v>0</v>
      </c>
    </row>
    <row r="12" spans="1:29">
      <c r="E12" s="12" t="s">
        <v>113</v>
      </c>
      <c r="F12" s="30"/>
      <c r="G12" s="12" t="s">
        <v>257</v>
      </c>
      <c r="H12" s="54">
        <f ca="1" xml:space="preserve"> SUM( J12:BQ12 )</f>
        <v>470077336.21187413</v>
      </c>
      <c r="I12" s="30"/>
      <c r="J12" s="12">
        <f ca="1" xml:space="preserve"> SUMIF( Time!$J332:$BQ332, Time!J$28, Cashflow!$J12:$BQ12)</f>
        <v>-207700</v>
      </c>
      <c r="K12" s="12">
        <f ca="1" xml:space="preserve"> SUMIF( Time!$J332:$BQ332, Time!K$28, Cashflow!$J12:$BQ12)</f>
        <v>1006715.6437608288</v>
      </c>
      <c r="L12" s="12">
        <f ca="1" xml:space="preserve"> SUMIF( Time!$J332:$BQ332, Time!L$28, Cashflow!$J12:$BQ12)</f>
        <v>2208846.2564527779</v>
      </c>
      <c r="M12" s="12">
        <f ca="1" xml:space="preserve"> SUMIF( Time!$J332:$BQ332, Time!M$28, Cashflow!$J12:$BQ12)</f>
        <v>871331.41634940635</v>
      </c>
      <c r="N12" s="12">
        <f ca="1" xml:space="preserve"> SUMIF( Time!$J332:$BQ332, Time!N$28, Cashflow!$J12:$BQ12)</f>
        <v>7748551.203713391</v>
      </c>
      <c r="O12" s="12">
        <f ca="1" xml:space="preserve"> SUMIF( Time!$J332:$BQ332, Time!O$28, Cashflow!$J12:$BQ12)</f>
        <v>8218067.0254911892</v>
      </c>
      <c r="P12" s="12">
        <f ca="1" xml:space="preserve"> SUMIF( Time!$J332:$BQ332, Time!P$28, Cashflow!$J12:$BQ12)</f>
        <v>1926317.7179938215</v>
      </c>
      <c r="Q12" s="12">
        <f ca="1" xml:space="preserve"> SUMIF( Time!$J332:$BQ332, Time!Q$28, Cashflow!$J12:$BQ12)</f>
        <v>2080967.8102279212</v>
      </c>
      <c r="R12" s="12">
        <f ca="1" xml:space="preserve"> SUMIF( Time!$J332:$BQ332, Time!R$28, Cashflow!$J12:$BQ12)</f>
        <v>15556195.927376607</v>
      </c>
      <c r="S12" s="12">
        <f ca="1" xml:space="preserve"> SUMIF( Time!$J332:$BQ332, Time!S$28, Cashflow!$J12:$BQ12)</f>
        <v>10756513.202240143</v>
      </c>
      <c r="T12" s="12">
        <f ca="1" xml:space="preserve"> SUMIF( Time!$J332:$BQ332, Time!T$28, Cashflow!$J12:$BQ12)</f>
        <v>10449901.907288976</v>
      </c>
      <c r="U12" s="12">
        <f ca="1" xml:space="preserve"> SUMIF( Time!$J332:$BQ332, Time!U$28, Cashflow!$J12:$BQ12)</f>
        <v>13390808.925470363</v>
      </c>
      <c r="V12" s="12">
        <f ca="1" xml:space="preserve"> SUMIF( Time!$J332:$BQ332, Time!V$28, Cashflow!$J12:$BQ12)</f>
        <v>26336727.589544497</v>
      </c>
      <c r="W12" s="12">
        <f ca="1" xml:space="preserve"> SUMIF( Time!$J332:$BQ332, Time!W$28, Cashflow!$J12:$BQ12)</f>
        <v>19740668.055924855</v>
      </c>
      <c r="X12" s="12">
        <f ca="1" xml:space="preserve"> SUMIF( Time!$J332:$BQ332, Time!X$28, Cashflow!$J12:$BQ12)</f>
        <v>37311883.038495548</v>
      </c>
      <c r="Y12" s="12">
        <f ca="1" xml:space="preserve"> SUMIF( Time!$J332:$BQ332, Time!Y$28, Cashflow!$J12:$BQ12)</f>
        <v>42395916.615211919</v>
      </c>
      <c r="Z12" s="12">
        <f ca="1" xml:space="preserve"> SUMIF( Time!$J332:$BQ332, Time!Z$28, Cashflow!$J12:$BQ12)</f>
        <v>56578373.715458818</v>
      </c>
      <c r="AA12" s="12">
        <f ca="1" xml:space="preserve"> SUMIF( Time!$J332:$BQ332, Time!AA$28, Cashflow!$J12:$BQ12)</f>
        <v>43145642.221686348</v>
      </c>
      <c r="AB12" s="12">
        <f ca="1" xml:space="preserve"> SUMIF( Time!$J332:$BQ332, Time!AB$28, Cashflow!$J12:$BQ12)</f>
        <v>78918108.921169728</v>
      </c>
      <c r="AC12" s="12">
        <f ca="1" xml:space="preserve"> SUMIF( Time!$J332:$BQ332, Time!AC$28, Cashflow!$J12:$BQ12)</f>
        <v>91643499.018016934</v>
      </c>
    </row>
    <row r="14" spans="1:29">
      <c r="E14" s="17" t="str">
        <f xml:space="preserve"> 'Working Capital'!E$15</f>
        <v xml:space="preserve">Cash out on Inventory </v>
      </c>
      <c r="F14" s="17">
        <f xml:space="preserve"> 'Working Capital'!F$15</f>
        <v>0</v>
      </c>
      <c r="G14" s="17" t="str">
        <f xml:space="preserve"> 'Working Capital'!G$15</f>
        <v>GBP</v>
      </c>
      <c r="H14" s="44">
        <f ca="1" xml:space="preserve"> 'Working Capital'!H$15</f>
        <v>-50694000</v>
      </c>
      <c r="I14" s="17">
        <f xml:space="preserve"> 'Working Capital'!I$15</f>
        <v>0</v>
      </c>
      <c r="J14" s="10">
        <f ca="1" xml:space="preserve"> SUMIF( Time!$J332:$BQ332, Time!J$28, 'Working Capital'!$J15:$BQ15)</f>
        <v>-105000</v>
      </c>
      <c r="K14" s="10">
        <f ca="1" xml:space="preserve"> SUMIF( Time!$J332:$BQ332, Time!K$28, 'Working Capital'!$J15:$BQ15)</f>
        <v>-210000</v>
      </c>
      <c r="L14" s="10">
        <f ca="1" xml:space="preserve"> SUMIF( Time!$J332:$BQ332, Time!L$28, 'Working Capital'!$J15:$BQ15)</f>
        <v>-503999.99999999994</v>
      </c>
      <c r="M14" s="10">
        <f ca="1" xml:space="preserve"> SUMIF( Time!$J332:$BQ332, Time!M$28, 'Working Capital'!$J15:$BQ15)</f>
        <v>-587999.99999999988</v>
      </c>
      <c r="N14" s="10">
        <f ca="1" xml:space="preserve"> SUMIF( Time!$J332:$BQ332, Time!N$28, 'Working Capital'!$J15:$BQ15)</f>
        <v>-640499.99999999988</v>
      </c>
      <c r="O14" s="10">
        <f ca="1" xml:space="preserve"> SUMIF( Time!$J332:$BQ332, Time!O$28, 'Working Capital'!$J15:$BQ15)</f>
        <v>-210000</v>
      </c>
      <c r="P14" s="10">
        <f ca="1" xml:space="preserve"> SUMIF( Time!$J332:$BQ332, Time!P$28, 'Working Capital'!$J15:$BQ15)</f>
        <v>-357000</v>
      </c>
      <c r="Q14" s="10">
        <f ca="1" xml:space="preserve"> SUMIF( Time!$J332:$BQ332, Time!Q$28, 'Working Capital'!$J15:$BQ15)</f>
        <v>-902999.99999999988</v>
      </c>
      <c r="R14" s="10">
        <f ca="1" xml:space="preserve"> SUMIF( Time!$J332:$BQ332, Time!R$28, 'Working Capital'!$J15:$BQ15)</f>
        <v>-955499.99999999988</v>
      </c>
      <c r="S14" s="10">
        <f ca="1" xml:space="preserve"> SUMIF( Time!$J332:$BQ332, Time!S$28, 'Working Capital'!$J15:$BQ15)</f>
        <v>-1406999.9999999998</v>
      </c>
      <c r="T14" s="10">
        <f ca="1" xml:space="preserve"> SUMIF( Time!$J332:$BQ332, Time!T$28, 'Working Capital'!$J15:$BQ15)</f>
        <v>-1659000</v>
      </c>
      <c r="U14" s="10">
        <f ca="1" xml:space="preserve"> SUMIF( Time!$J332:$BQ332, Time!U$28, 'Working Capital'!$J15:$BQ15)</f>
        <v>-2205000</v>
      </c>
      <c r="V14" s="10">
        <f ca="1" xml:space="preserve"> SUMIF( Time!$J332:$BQ332, Time!V$28, 'Working Capital'!$J15:$BQ15)</f>
        <v>-2604000</v>
      </c>
      <c r="W14" s="10">
        <f ca="1" xml:space="preserve"> SUMIF( Time!$J332:$BQ332, Time!W$28, 'Working Capital'!$J15:$BQ15)</f>
        <v>-3108000</v>
      </c>
      <c r="X14" s="10">
        <f ca="1" xml:space="preserve"> SUMIF( Time!$J332:$BQ332, Time!X$28, 'Working Capital'!$J15:$BQ15)</f>
        <v>-3559500</v>
      </c>
      <c r="Y14" s="10">
        <f ca="1" xml:space="preserve"> SUMIF( Time!$J332:$BQ332, Time!Y$28, 'Working Capital'!$J15:$BQ15)</f>
        <v>-4410000</v>
      </c>
      <c r="Z14" s="10">
        <f ca="1" xml:space="preserve"> SUMIF( Time!$J332:$BQ332, Time!Z$28, 'Working Capital'!$J15:$BQ15)</f>
        <v>-5113500</v>
      </c>
      <c r="AA14" s="10">
        <f ca="1" xml:space="preserve"> SUMIF( Time!$J332:$BQ332, Time!AA$28, 'Working Capital'!$J15:$BQ15)</f>
        <v>-6163500</v>
      </c>
      <c r="AB14" s="10">
        <f ca="1" xml:space="preserve"> SUMIF( Time!$J332:$BQ332, Time!AB$28, 'Working Capital'!$J15:$BQ15)</f>
        <v>-7318500</v>
      </c>
      <c r="AC14" s="10">
        <f ca="1" xml:space="preserve"> SUMIF( Time!$J332:$BQ332, Time!AC$28, 'Working Capital'!$J15:$BQ15)</f>
        <v>-8673000</v>
      </c>
    </row>
    <row r="15" spans="1:29">
      <c r="E15" s="12" t="s">
        <v>19</v>
      </c>
      <c r="F15" s="30"/>
      <c r="G15" s="12" t="s">
        <v>257</v>
      </c>
      <c r="H15" s="54">
        <f ca="1" xml:space="preserve"> SUM( J15:BQ15 )</f>
        <v>419383336.21187413</v>
      </c>
      <c r="I15" s="30"/>
      <c r="J15" s="12">
        <f ca="1" xml:space="preserve"> SUMIF( Time!$J332:$BQ332, Time!J$28, Cashflow!$J15:$BQ15)</f>
        <v>-312700</v>
      </c>
      <c r="K15" s="12">
        <f ca="1" xml:space="preserve"> SUMIF( Time!$J332:$BQ332, Time!K$28, Cashflow!$J15:$BQ15)</f>
        <v>796715.64376082877</v>
      </c>
      <c r="L15" s="12">
        <f ca="1" xml:space="preserve"> SUMIF( Time!$J332:$BQ332, Time!L$28, Cashflow!$J15:$BQ15)</f>
        <v>1704846.2564527779</v>
      </c>
      <c r="M15" s="12">
        <f ca="1" xml:space="preserve"> SUMIF( Time!$J332:$BQ332, Time!M$28, Cashflow!$J15:$BQ15)</f>
        <v>283331.41634940635</v>
      </c>
      <c r="N15" s="12">
        <f ca="1" xml:space="preserve"> SUMIF( Time!$J332:$BQ332, Time!N$28, Cashflow!$J15:$BQ15)</f>
        <v>7108051.203713391</v>
      </c>
      <c r="O15" s="12">
        <f ca="1" xml:space="preserve"> SUMIF( Time!$J332:$BQ332, Time!O$28, Cashflow!$J15:$BQ15)</f>
        <v>8008067.0254911892</v>
      </c>
      <c r="P15" s="12">
        <f ca="1" xml:space="preserve"> SUMIF( Time!$J332:$BQ332, Time!P$28, Cashflow!$J15:$BQ15)</f>
        <v>1569317.7179938215</v>
      </c>
      <c r="Q15" s="12">
        <f ca="1" xml:space="preserve"> SUMIF( Time!$J332:$BQ332, Time!Q$28, Cashflow!$J15:$BQ15)</f>
        <v>1177967.8102279212</v>
      </c>
      <c r="R15" s="12">
        <f ca="1" xml:space="preserve"> SUMIF( Time!$J332:$BQ332, Time!R$28, Cashflow!$J15:$BQ15)</f>
        <v>14600695.927376609</v>
      </c>
      <c r="S15" s="12">
        <f ca="1" xml:space="preserve"> SUMIF( Time!$J332:$BQ332, Time!S$28, Cashflow!$J15:$BQ15)</f>
        <v>9349513.202240143</v>
      </c>
      <c r="T15" s="12">
        <f ca="1" xml:space="preserve"> SUMIF( Time!$J332:$BQ332, Time!T$28, Cashflow!$J15:$BQ15)</f>
        <v>8790901.907288976</v>
      </c>
      <c r="U15" s="12">
        <f ca="1" xml:space="preserve"> SUMIF( Time!$J332:$BQ332, Time!U$28, Cashflow!$J15:$BQ15)</f>
        <v>11185808.925470363</v>
      </c>
      <c r="V15" s="12">
        <f ca="1" xml:space="preserve"> SUMIF( Time!$J332:$BQ332, Time!V$28, Cashflow!$J15:$BQ15)</f>
        <v>23732727.589544497</v>
      </c>
      <c r="W15" s="12">
        <f ca="1" xml:space="preserve"> SUMIF( Time!$J332:$BQ332, Time!W$28, Cashflow!$J15:$BQ15)</f>
        <v>16632668.055924855</v>
      </c>
      <c r="X15" s="12">
        <f ca="1" xml:space="preserve"> SUMIF( Time!$J332:$BQ332, Time!X$28, Cashflow!$J15:$BQ15)</f>
        <v>33752383.038495548</v>
      </c>
      <c r="Y15" s="12">
        <f ca="1" xml:space="preserve"> SUMIF( Time!$J332:$BQ332, Time!Y$28, Cashflow!$J15:$BQ15)</f>
        <v>37985916.615211919</v>
      </c>
      <c r="Z15" s="12">
        <f ca="1" xml:space="preserve"> SUMIF( Time!$J332:$BQ332, Time!Z$28, Cashflow!$J15:$BQ15)</f>
        <v>51464873.715458818</v>
      </c>
      <c r="AA15" s="12">
        <f ca="1" xml:space="preserve"> SUMIF( Time!$J332:$BQ332, Time!AA$28, Cashflow!$J15:$BQ15)</f>
        <v>36982142.221686348</v>
      </c>
      <c r="AB15" s="12">
        <f ca="1" xml:space="preserve"> SUMIF( Time!$J332:$BQ332, Time!AB$28, Cashflow!$J15:$BQ15)</f>
        <v>71599608.921169728</v>
      </c>
      <c r="AC15" s="12">
        <f ca="1" xml:space="preserve"> SUMIF( Time!$J332:$BQ332, Time!AC$28, Cashflow!$J15:$BQ15)</f>
        <v>82970499.018016934</v>
      </c>
    </row>
    <row r="17" spans="5:2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0</v>
      </c>
      <c r="I17" s="17">
        <f xml:space="preserve"> 'Supply Chain finance'!I$22</f>
        <v>0</v>
      </c>
      <c r="J17" s="10">
        <f xml:space="preserve"> SUMIF( Time!$J332:$BQ332, Time!J$28, 'Supply Chain finance'!$J22:$BQ22)</f>
        <v>0</v>
      </c>
      <c r="K17" s="10">
        <f xml:space="preserve"> SUMIF( Time!$J332:$BQ332, Time!K$28, 'Supply Chain finance'!$J22:$BQ22)</f>
        <v>0</v>
      </c>
      <c r="L17" s="10">
        <f xml:space="preserve"> SUMIF( Time!$J332:$BQ332, Time!L$28, 'Supply Chain finance'!$J22:$BQ22)</f>
        <v>0</v>
      </c>
      <c r="M17" s="10">
        <f xml:space="preserve"> SUMIF( Time!$J332:$BQ332, Time!M$28, 'Supply Chain finance'!$J22:$BQ22)</f>
        <v>0</v>
      </c>
      <c r="N17" s="10">
        <f ca="1" xml:space="preserve"> SUMIF( Time!$J332:$BQ332, Time!N$28, 'Supply Chain finance'!$J22:$BQ22)</f>
        <v>0</v>
      </c>
      <c r="O17" s="10">
        <f ca="1" xml:space="preserve"> SUMIF( Time!$J332:$BQ332, Time!O$28, 'Supply Chain finance'!$J22:$BQ22)</f>
        <v>0</v>
      </c>
      <c r="P17" s="10">
        <f ca="1" xml:space="preserve"> SUMIF( Time!$J332:$BQ332, Time!P$28, 'Supply Chain finance'!$J22:$BQ22)</f>
        <v>0</v>
      </c>
      <c r="Q17" s="10">
        <f ca="1" xml:space="preserve"> SUMIF( Time!$J332:$BQ332, Time!Q$28, 'Supply Chain finance'!$J22:$BQ22)</f>
        <v>0</v>
      </c>
      <c r="R17" s="10">
        <f ca="1" xml:space="preserve"> SUMIF( Time!$J332:$BQ332, Time!R$28, 'Supply Chain finance'!$J22:$BQ22)</f>
        <v>0</v>
      </c>
      <c r="S17" s="10">
        <f ca="1" xml:space="preserve"> SUMIF( Time!$J332:$BQ332, Time!S$28, 'Supply Chain finance'!$J22:$BQ22)</f>
        <v>0</v>
      </c>
      <c r="T17" s="10">
        <f ca="1" xml:space="preserve"> SUMIF( Time!$J332:$BQ332, Time!T$28, 'Supply Chain finance'!$J22:$BQ22)</f>
        <v>0</v>
      </c>
      <c r="U17" s="10">
        <f ca="1" xml:space="preserve"> SUMIF( Time!$J332:$BQ332, Time!U$28, 'Supply Chain finance'!$J22:$BQ22)</f>
        <v>0</v>
      </c>
      <c r="V17" s="10">
        <f ca="1" xml:space="preserve"> SUMIF( Time!$J332:$BQ332, Time!V$28, 'Supply Chain finance'!$J22:$BQ22)</f>
        <v>0</v>
      </c>
      <c r="W17" s="10">
        <f ca="1" xml:space="preserve"> SUMIF( Time!$J332:$BQ332, Time!W$28, 'Supply Chain finance'!$J22:$BQ22)</f>
        <v>0</v>
      </c>
      <c r="X17" s="10">
        <f ca="1" xml:space="preserve"> SUMIF( Time!$J332:$BQ332, Time!X$28, 'Supply Chain finance'!$J22:$BQ22)</f>
        <v>0</v>
      </c>
      <c r="Y17" s="10">
        <f ca="1" xml:space="preserve"> SUMIF( Time!$J332:$BQ332, Time!Y$28, 'Supply Chain finance'!$J22:$BQ22)</f>
        <v>0</v>
      </c>
      <c r="Z17" s="10">
        <f ca="1" xml:space="preserve"> SUMIF( Time!$J332:$BQ332, Time!Z$28, 'Supply Chain finance'!$J22:$BQ22)</f>
        <v>0</v>
      </c>
      <c r="AA17" s="10">
        <f ca="1" xml:space="preserve"> SUMIF( Time!$J332:$BQ332, Time!AA$28, 'Supply Chain finance'!$J22:$BQ22)</f>
        <v>0</v>
      </c>
      <c r="AB17" s="10">
        <f ca="1" xml:space="preserve"> SUMIF( Time!$J332:$BQ332, Time!AB$28, 'Supply Chain finance'!$J22:$BQ22)</f>
        <v>0</v>
      </c>
      <c r="AC17" s="10">
        <f ca="1" xml:space="preserve"> SUMIF( Time!$J332:$BQ332, Time!AC$28, 'Supply Chain finance'!$J22:$BQ22)</f>
        <v>0</v>
      </c>
    </row>
    <row r="18" spans="5:2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0</v>
      </c>
      <c r="I18" s="17">
        <f xml:space="preserve"> 'Supply Chain finance'!I$29</f>
        <v>0</v>
      </c>
      <c r="J18" s="10">
        <f ca="1" xml:space="preserve"> SUMIF( Time!$J332:$BQ332, Time!J$28, 'Supply Chain finance'!$J29:$BQ29)</f>
        <v>0</v>
      </c>
      <c r="K18" s="10">
        <f ca="1" xml:space="preserve"> SUMIF( Time!$J332:$BQ332, Time!K$28, 'Supply Chain finance'!$J29:$BQ29)</f>
        <v>0</v>
      </c>
      <c r="L18" s="10">
        <f ca="1" xml:space="preserve"> SUMIF( Time!$J332:$BQ332, Time!L$28, 'Supply Chain finance'!$J29:$BQ29)</f>
        <v>0</v>
      </c>
      <c r="M18" s="10">
        <f ca="1" xml:space="preserve"> SUMIF( Time!$J332:$BQ332, Time!M$28, 'Supply Chain finance'!$J29:$BQ29)</f>
        <v>0</v>
      </c>
      <c r="N18" s="10">
        <f ca="1" xml:space="preserve"> SUMIF( Time!$J332:$BQ332, Time!N$28, 'Supply Chain finance'!$J29:$BQ29)</f>
        <v>0</v>
      </c>
      <c r="O18" s="10">
        <f ca="1" xml:space="preserve"> SUMIF( Time!$J332:$BQ332, Time!O$28, 'Supply Chain finance'!$J29:$BQ29)</f>
        <v>0</v>
      </c>
      <c r="P18" s="10">
        <f ca="1" xml:space="preserve"> SUMIF( Time!$J332:$BQ332, Time!P$28, 'Supply Chain finance'!$J29:$BQ29)</f>
        <v>0</v>
      </c>
      <c r="Q18" s="10">
        <f ca="1" xml:space="preserve"> SUMIF( Time!$J332:$BQ332, Time!Q$28, 'Supply Chain finance'!$J29:$BQ29)</f>
        <v>0</v>
      </c>
      <c r="R18" s="10">
        <f ca="1" xml:space="preserve"> SUMIF( Time!$J332:$BQ332, Time!R$28, 'Supply Chain finance'!$J29:$BQ29)</f>
        <v>0</v>
      </c>
      <c r="S18" s="10">
        <f ca="1" xml:space="preserve"> SUMIF( Time!$J332:$BQ332, Time!S$28, 'Supply Chain finance'!$J29:$BQ29)</f>
        <v>0</v>
      </c>
      <c r="T18" s="10">
        <f ca="1" xml:space="preserve"> SUMIF( Time!$J332:$BQ332, Time!T$28, 'Supply Chain finance'!$J29:$BQ29)</f>
        <v>0</v>
      </c>
      <c r="U18" s="10">
        <f ca="1" xml:space="preserve"> SUMIF( Time!$J332:$BQ332, Time!U$28, 'Supply Chain finance'!$J29:$BQ29)</f>
        <v>0</v>
      </c>
      <c r="V18" s="10">
        <f ca="1" xml:space="preserve"> SUMIF( Time!$J332:$BQ332, Time!V$28, 'Supply Chain finance'!$J29:$BQ29)</f>
        <v>0</v>
      </c>
      <c r="W18" s="10">
        <f ca="1" xml:space="preserve"> SUMIF( Time!$J332:$BQ332, Time!W$28, 'Supply Chain finance'!$J29:$BQ29)</f>
        <v>0</v>
      </c>
      <c r="X18" s="10">
        <f ca="1" xml:space="preserve"> SUMIF( Time!$J332:$BQ332, Time!X$28, 'Supply Chain finance'!$J29:$BQ29)</f>
        <v>0</v>
      </c>
      <c r="Y18" s="10">
        <f ca="1" xml:space="preserve"> SUMIF( Time!$J332:$BQ332, Time!Y$28, 'Supply Chain finance'!$J29:$BQ29)</f>
        <v>0</v>
      </c>
      <c r="Z18" s="10">
        <f ca="1" xml:space="preserve"> SUMIF( Time!$J332:$BQ332, Time!Z$28, 'Supply Chain finance'!$J29:$BQ29)</f>
        <v>0</v>
      </c>
      <c r="AA18" s="10">
        <f ca="1" xml:space="preserve"> SUMIF( Time!$J332:$BQ332, Time!AA$28, 'Supply Chain finance'!$J29:$BQ29)</f>
        <v>0</v>
      </c>
      <c r="AB18" s="10">
        <f ca="1" xml:space="preserve"> SUMIF( Time!$J332:$BQ332, Time!AB$28, 'Supply Chain finance'!$J29:$BQ29)</f>
        <v>0</v>
      </c>
      <c r="AC18" s="10">
        <f ca="1" xml:space="preserve"> SUMIF( Time!$J332:$BQ332, Time!AC$28, 'Supply Chain finance'!$J29:$BQ29)</f>
        <v>0</v>
      </c>
    </row>
    <row r="19" spans="5:29">
      <c r="E19" s="17" t="str">
        <f xml:space="preserve"> 'Invoice finance'!E$21</f>
        <v>Invoice finance drawdown</v>
      </c>
      <c r="F19" s="17">
        <f xml:space="preserve"> 'Invoice finance'!F$21</f>
        <v>0</v>
      </c>
      <c r="G19" s="17" t="str">
        <f xml:space="preserve"> 'Invoice finance'!G$21</f>
        <v>GBP</v>
      </c>
      <c r="H19" s="44">
        <f ca="1" xml:space="preserve"> 'Invoice finance'!H$21</f>
        <v>0</v>
      </c>
      <c r="I19" s="17">
        <f xml:space="preserve"> 'Invoice finance'!I$21</f>
        <v>0</v>
      </c>
      <c r="J19" s="10">
        <f ca="1" xml:space="preserve"> SUMIF( Time!$J332:$BQ332, Time!J$28, 'Invoice finance'!$J21:$BQ21)</f>
        <v>0</v>
      </c>
      <c r="K19" s="10">
        <f ca="1" xml:space="preserve"> SUMIF( Time!$J332:$BQ332, Time!K$28, 'Invoice finance'!$J21:$BQ21)</f>
        <v>0</v>
      </c>
      <c r="L19" s="10">
        <f ca="1" xml:space="preserve"> SUMIF( Time!$J332:$BQ332, Time!L$28, 'Invoice finance'!$J21:$BQ21)</f>
        <v>0</v>
      </c>
      <c r="M19" s="10">
        <f ca="1" xml:space="preserve"> SUMIF( Time!$J332:$BQ332, Time!M$28, 'Invoice finance'!$J21:$BQ21)</f>
        <v>0</v>
      </c>
      <c r="N19" s="10">
        <f ca="1" xml:space="preserve"> SUMIF( Time!$J332:$BQ332, Time!N$28, 'Invoice finance'!$J21:$BQ21)</f>
        <v>0</v>
      </c>
      <c r="O19" s="10">
        <f ca="1" xml:space="preserve"> SUMIF( Time!$J332:$BQ332, Time!O$28, 'Invoice finance'!$J21:$BQ21)</f>
        <v>0</v>
      </c>
      <c r="P19" s="10">
        <f ca="1" xml:space="preserve"> SUMIF( Time!$J332:$BQ332, Time!P$28, 'Invoice finance'!$J21:$BQ21)</f>
        <v>0</v>
      </c>
      <c r="Q19" s="10">
        <f ca="1" xml:space="preserve"> SUMIF( Time!$J332:$BQ332, Time!Q$28, 'Invoice finance'!$J21:$BQ21)</f>
        <v>0</v>
      </c>
      <c r="R19" s="10">
        <f ca="1" xml:space="preserve"> SUMIF( Time!$J332:$BQ332, Time!R$28, 'Invoice finance'!$J21:$BQ21)</f>
        <v>0</v>
      </c>
      <c r="S19" s="10">
        <f ca="1" xml:space="preserve"> SUMIF( Time!$J332:$BQ332, Time!S$28, 'Invoice finance'!$J21:$BQ21)</f>
        <v>0</v>
      </c>
      <c r="T19" s="10">
        <f ca="1" xml:space="preserve"> SUMIF( Time!$J332:$BQ332, Time!T$28, 'Invoice finance'!$J21:$BQ21)</f>
        <v>0</v>
      </c>
      <c r="U19" s="10">
        <f ca="1" xml:space="preserve"> SUMIF( Time!$J332:$BQ332, Time!U$28, 'Invoice finance'!$J21:$BQ21)</f>
        <v>0</v>
      </c>
      <c r="V19" s="10">
        <f ca="1" xml:space="preserve"> SUMIF( Time!$J332:$BQ332, Time!V$28, 'Invoice finance'!$J21:$BQ21)</f>
        <v>0</v>
      </c>
      <c r="W19" s="10">
        <f ca="1" xml:space="preserve"> SUMIF( Time!$J332:$BQ332, Time!W$28, 'Invoice finance'!$J21:$BQ21)</f>
        <v>0</v>
      </c>
      <c r="X19" s="10">
        <f ca="1" xml:space="preserve"> SUMIF( Time!$J332:$BQ332, Time!X$28, 'Invoice finance'!$J21:$BQ21)</f>
        <v>0</v>
      </c>
      <c r="Y19" s="10">
        <f ca="1" xml:space="preserve"> SUMIF( Time!$J332:$BQ332, Time!Y$28, 'Invoice finance'!$J21:$BQ21)</f>
        <v>0</v>
      </c>
      <c r="Z19" s="10">
        <f ca="1" xml:space="preserve"> SUMIF( Time!$J332:$BQ332, Time!Z$28, 'Invoice finance'!$J21:$BQ21)</f>
        <v>0</v>
      </c>
      <c r="AA19" s="10">
        <f ca="1" xml:space="preserve"> SUMIF( Time!$J332:$BQ332, Time!AA$28, 'Invoice finance'!$J21:$BQ21)</f>
        <v>0</v>
      </c>
      <c r="AB19" s="10">
        <f ca="1" xml:space="preserve"> SUMIF( Time!$J332:$BQ332, Time!AB$28, 'Invoice finance'!$J21:$BQ21)</f>
        <v>0</v>
      </c>
      <c r="AC19" s="10">
        <f ca="1" xml:space="preserve"> SUMIF( Time!$J332:$BQ332, Time!AC$28, 'Invoice finance'!$J21:$BQ21)</f>
        <v>0</v>
      </c>
    </row>
    <row r="20" spans="5:2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0</v>
      </c>
      <c r="I20" s="17">
        <f xml:space="preserve"> 'Invoice finance'!I$28</f>
        <v>0</v>
      </c>
      <c r="J20" s="10">
        <f ca="1" xml:space="preserve"> SUMIF( Time!$J332:$BQ332, Time!J$28, 'Invoice finance'!$J28:$BQ28)</f>
        <v>0</v>
      </c>
      <c r="K20" s="10">
        <f ca="1" xml:space="preserve"> SUMIF( Time!$J332:$BQ332, Time!K$28, 'Invoice finance'!$J28:$BQ28)</f>
        <v>0</v>
      </c>
      <c r="L20" s="10">
        <f ca="1" xml:space="preserve"> SUMIF( Time!$J332:$BQ332, Time!L$28, 'Invoice finance'!$J28:$BQ28)</f>
        <v>0</v>
      </c>
      <c r="M20" s="10">
        <f ca="1" xml:space="preserve"> SUMIF( Time!$J332:$BQ332, Time!M$28, 'Invoice finance'!$J28:$BQ28)</f>
        <v>0</v>
      </c>
      <c r="N20" s="10">
        <f ca="1" xml:space="preserve"> SUMIF( Time!$J332:$BQ332, Time!N$28, 'Invoice finance'!$J28:$BQ28)</f>
        <v>0</v>
      </c>
      <c r="O20" s="10">
        <f ca="1" xml:space="preserve"> SUMIF( Time!$J332:$BQ332, Time!O$28, 'Invoice finance'!$J28:$BQ28)</f>
        <v>0</v>
      </c>
      <c r="P20" s="10">
        <f ca="1" xml:space="preserve"> SUMIF( Time!$J332:$BQ332, Time!P$28, 'Invoice finance'!$J28:$BQ28)</f>
        <v>0</v>
      </c>
      <c r="Q20" s="10">
        <f ca="1" xml:space="preserve"> SUMIF( Time!$J332:$BQ332, Time!Q$28, 'Invoice finance'!$J28:$BQ28)</f>
        <v>0</v>
      </c>
      <c r="R20" s="10">
        <f ca="1" xml:space="preserve"> SUMIF( Time!$J332:$BQ332, Time!R$28, 'Invoice finance'!$J28:$BQ28)</f>
        <v>0</v>
      </c>
      <c r="S20" s="10">
        <f ca="1" xml:space="preserve"> SUMIF( Time!$J332:$BQ332, Time!S$28, 'Invoice finance'!$J28:$BQ28)</f>
        <v>0</v>
      </c>
      <c r="T20" s="10">
        <f ca="1" xml:space="preserve"> SUMIF( Time!$J332:$BQ332, Time!T$28, 'Invoice finance'!$J28:$BQ28)</f>
        <v>0</v>
      </c>
      <c r="U20" s="10">
        <f ca="1" xml:space="preserve"> SUMIF( Time!$J332:$BQ332, Time!U$28, 'Invoice finance'!$J28:$BQ28)</f>
        <v>0</v>
      </c>
      <c r="V20" s="10">
        <f ca="1" xml:space="preserve"> SUMIF( Time!$J332:$BQ332, Time!V$28, 'Invoice finance'!$J28:$BQ28)</f>
        <v>0</v>
      </c>
      <c r="W20" s="10">
        <f ca="1" xml:space="preserve"> SUMIF( Time!$J332:$BQ332, Time!W$28, 'Invoice finance'!$J28:$BQ28)</f>
        <v>0</v>
      </c>
      <c r="X20" s="10">
        <f ca="1" xml:space="preserve"> SUMIF( Time!$J332:$BQ332, Time!X$28, 'Invoice finance'!$J28:$BQ28)</f>
        <v>0</v>
      </c>
      <c r="Y20" s="10">
        <f ca="1" xml:space="preserve"> SUMIF( Time!$J332:$BQ332, Time!Y$28, 'Invoice finance'!$J28:$BQ28)</f>
        <v>0</v>
      </c>
      <c r="Z20" s="10">
        <f ca="1" xml:space="preserve"> SUMIF( Time!$J332:$BQ332, Time!Z$28, 'Invoice finance'!$J28:$BQ28)</f>
        <v>0</v>
      </c>
      <c r="AA20" s="10">
        <f ca="1" xml:space="preserve"> SUMIF( Time!$J332:$BQ332, Time!AA$28, 'Invoice finance'!$J28:$BQ28)</f>
        <v>0</v>
      </c>
      <c r="AB20" s="10">
        <f ca="1" xml:space="preserve"> SUMIF( Time!$J332:$BQ332, Time!AB$28, 'Invoice finance'!$J28:$BQ28)</f>
        <v>0</v>
      </c>
      <c r="AC20" s="10">
        <f ca="1" xml:space="preserve"> SUMIF( Time!$J332:$BQ332, Time!AC$28, 'Invoice finance'!$J28:$BQ28)</f>
        <v>0</v>
      </c>
    </row>
    <row r="21" spans="5:29">
      <c r="E21" s="17" t="str">
        <f xml:space="preserve"> 'Asset Finance'!E$22</f>
        <v>Asset Finance drawdown</v>
      </c>
      <c r="F21" s="17">
        <f xml:space="preserve"> 'Asset Finance'!F$22</f>
        <v>0</v>
      </c>
      <c r="G21" s="17" t="str">
        <f xml:space="preserve"> 'Asset Finance'!G$22</f>
        <v>GBP</v>
      </c>
      <c r="H21" s="44">
        <f ca="1" xml:space="preserve"> 'Asset Finance'!H$22</f>
        <v>0</v>
      </c>
      <c r="I21" s="17">
        <f xml:space="preserve"> 'Asset Finance'!I$22</f>
        <v>0</v>
      </c>
      <c r="J21" s="10">
        <f ca="1" xml:space="preserve"> SUMIF( Time!$J332:$BQ332, Time!J$28, 'Asset Finance'!$J22:$BQ22)</f>
        <v>0</v>
      </c>
      <c r="K21" s="10">
        <f ca="1" xml:space="preserve"> SUMIF( Time!$J332:$BQ332, Time!K$28, 'Asset Finance'!$J22:$BQ22)</f>
        <v>0</v>
      </c>
      <c r="L21" s="10">
        <f ca="1" xml:space="preserve"> SUMIF( Time!$J332:$BQ332, Time!L$28, 'Asset Finance'!$J22:$BQ22)</f>
        <v>0</v>
      </c>
      <c r="M21" s="10">
        <f ca="1" xml:space="preserve"> SUMIF( Time!$J332:$BQ332, Time!M$28, 'Asset Finance'!$J22:$BQ22)</f>
        <v>0</v>
      </c>
      <c r="N21" s="10">
        <f ca="1" xml:space="preserve"> SUMIF( Time!$J332:$BQ332, Time!N$28, 'Asset Finance'!$J22:$BQ22)</f>
        <v>0</v>
      </c>
      <c r="O21" s="10">
        <f ca="1" xml:space="preserve"> SUMIF( Time!$J332:$BQ332, Time!O$28, 'Asset Finance'!$J22:$BQ22)</f>
        <v>0</v>
      </c>
      <c r="P21" s="10">
        <f ca="1" xml:space="preserve"> SUMIF( Time!$J332:$BQ332, Time!P$28, 'Asset Finance'!$J22:$BQ22)</f>
        <v>0</v>
      </c>
      <c r="Q21" s="10">
        <f ca="1" xml:space="preserve"> SUMIF( Time!$J332:$BQ332, Time!Q$28, 'Asset Finance'!$J22:$BQ22)</f>
        <v>0</v>
      </c>
      <c r="R21" s="10">
        <f ca="1" xml:space="preserve"> SUMIF( Time!$J332:$BQ332, Time!R$28, 'Asset Finance'!$J22:$BQ22)</f>
        <v>0</v>
      </c>
      <c r="S21" s="10">
        <f ca="1" xml:space="preserve"> SUMIF( Time!$J332:$BQ332, Time!S$28, 'Asset Finance'!$J22:$BQ22)</f>
        <v>0</v>
      </c>
      <c r="T21" s="10">
        <f ca="1" xml:space="preserve"> SUMIF( Time!$J332:$BQ332, Time!T$28, 'Asset Finance'!$J22:$BQ22)</f>
        <v>0</v>
      </c>
      <c r="U21" s="10">
        <f ca="1" xml:space="preserve"> SUMIF( Time!$J332:$BQ332, Time!U$28, 'Asset Finance'!$J22:$BQ22)</f>
        <v>0</v>
      </c>
      <c r="V21" s="10">
        <f ca="1" xml:space="preserve"> SUMIF( Time!$J332:$BQ332, Time!V$28, 'Asset Finance'!$J22:$BQ22)</f>
        <v>0</v>
      </c>
      <c r="W21" s="10">
        <f ca="1" xml:space="preserve"> SUMIF( Time!$J332:$BQ332, Time!W$28, 'Asset Finance'!$J22:$BQ22)</f>
        <v>0</v>
      </c>
      <c r="X21" s="10">
        <f ca="1" xml:space="preserve"> SUMIF( Time!$J332:$BQ332, Time!X$28, 'Asset Finance'!$J22:$BQ22)</f>
        <v>0</v>
      </c>
      <c r="Y21" s="10">
        <f ca="1" xml:space="preserve"> SUMIF( Time!$J332:$BQ332, Time!Y$28, 'Asset Finance'!$J22:$BQ22)</f>
        <v>0</v>
      </c>
      <c r="Z21" s="10">
        <f ca="1" xml:space="preserve"> SUMIF( Time!$J332:$BQ332, Time!Z$28, 'Asset Finance'!$J22:$BQ22)</f>
        <v>0</v>
      </c>
      <c r="AA21" s="10">
        <f ca="1" xml:space="preserve"> SUMIF( Time!$J332:$BQ332, Time!AA$28, 'Asset Finance'!$J22:$BQ22)</f>
        <v>0</v>
      </c>
      <c r="AB21" s="10">
        <f ca="1" xml:space="preserve"> SUMIF( Time!$J332:$BQ332, Time!AB$28, 'Asset Finance'!$J22:$BQ22)</f>
        <v>0</v>
      </c>
      <c r="AC21" s="10">
        <f ca="1" xml:space="preserve"> SUMIF( Time!$J332:$BQ332, Time!AC$28, 'Asset Finance'!$J22:$BQ22)</f>
        <v>0</v>
      </c>
    </row>
    <row r="22" spans="5:29">
      <c r="E22" s="17" t="str">
        <f xml:space="preserve"> 'Asset Finance'!E$29</f>
        <v xml:space="preserve">Asset Finance principal repayment </v>
      </c>
      <c r="F22" s="17">
        <f xml:space="preserve"> 'Asset Finance'!F$29</f>
        <v>0</v>
      </c>
      <c r="G22" s="17" t="str">
        <f xml:space="preserve"> 'Asset Finance'!G$29</f>
        <v>GBP</v>
      </c>
      <c r="H22" s="44">
        <f ca="1" xml:space="preserve"> 'Asset Finance'!H$29</f>
        <v>0</v>
      </c>
      <c r="I22" s="17">
        <f xml:space="preserve"> 'Asset Finance'!I$29</f>
        <v>0</v>
      </c>
      <c r="J22" s="10">
        <f ca="1" xml:space="preserve"> SUMIF( Time!$J332:$BQ332, Time!J$28, 'Asset Finance'!$J29:$BQ29)</f>
        <v>0</v>
      </c>
      <c r="K22" s="10">
        <f ca="1" xml:space="preserve"> SUMIF( Time!$J332:$BQ332, Time!K$28, 'Asset Finance'!$J29:$BQ29)</f>
        <v>0</v>
      </c>
      <c r="L22" s="10">
        <f ca="1" xml:space="preserve"> SUMIF( Time!$J332:$BQ332, Time!L$28, 'Asset Finance'!$J29:$BQ29)</f>
        <v>0</v>
      </c>
      <c r="M22" s="10">
        <f ca="1" xml:space="preserve"> SUMIF( Time!$J332:$BQ332, Time!M$28, 'Asset Finance'!$J29:$BQ29)</f>
        <v>0</v>
      </c>
      <c r="N22" s="10">
        <f ca="1" xml:space="preserve"> SUMIF( Time!$J332:$BQ332, Time!N$28, 'Asset Finance'!$J29:$BQ29)</f>
        <v>0</v>
      </c>
      <c r="O22" s="10">
        <f ca="1" xml:space="preserve"> SUMIF( Time!$J332:$BQ332, Time!O$28, 'Asset Finance'!$J29:$BQ29)</f>
        <v>0</v>
      </c>
      <c r="P22" s="10">
        <f ca="1" xml:space="preserve"> SUMIF( Time!$J332:$BQ332, Time!P$28, 'Asset Finance'!$J29:$BQ29)</f>
        <v>0</v>
      </c>
      <c r="Q22" s="10">
        <f ca="1" xml:space="preserve"> SUMIF( Time!$J332:$BQ332, Time!Q$28, 'Asset Finance'!$J29:$BQ29)</f>
        <v>0</v>
      </c>
      <c r="R22" s="10">
        <f ca="1" xml:space="preserve"> SUMIF( Time!$J332:$BQ332, Time!R$28, 'Asset Finance'!$J29:$BQ29)</f>
        <v>0</v>
      </c>
      <c r="S22" s="10">
        <f ca="1" xml:space="preserve"> SUMIF( Time!$J332:$BQ332, Time!S$28, 'Asset Finance'!$J29:$BQ29)</f>
        <v>0</v>
      </c>
      <c r="T22" s="10">
        <f ca="1" xml:space="preserve"> SUMIF( Time!$J332:$BQ332, Time!T$28, 'Asset Finance'!$J29:$BQ29)</f>
        <v>0</v>
      </c>
      <c r="U22" s="10">
        <f ca="1" xml:space="preserve"> SUMIF( Time!$J332:$BQ332, Time!U$28, 'Asset Finance'!$J29:$BQ29)</f>
        <v>0</v>
      </c>
      <c r="V22" s="10">
        <f ca="1" xml:space="preserve"> SUMIF( Time!$J332:$BQ332, Time!V$28, 'Asset Finance'!$J29:$BQ29)</f>
        <v>0</v>
      </c>
      <c r="W22" s="10">
        <f ca="1" xml:space="preserve"> SUMIF( Time!$J332:$BQ332, Time!W$28, 'Asset Finance'!$J29:$BQ29)</f>
        <v>0</v>
      </c>
      <c r="X22" s="10">
        <f ca="1" xml:space="preserve"> SUMIF( Time!$J332:$BQ332, Time!X$28, 'Asset Finance'!$J29:$BQ29)</f>
        <v>0</v>
      </c>
      <c r="Y22" s="10">
        <f ca="1" xml:space="preserve"> SUMIF( Time!$J332:$BQ332, Time!Y$28, 'Asset Finance'!$J29:$BQ29)</f>
        <v>0</v>
      </c>
      <c r="Z22" s="10">
        <f ca="1" xml:space="preserve"> SUMIF( Time!$J332:$BQ332, Time!Z$28, 'Asset Finance'!$J29:$BQ29)</f>
        <v>0</v>
      </c>
      <c r="AA22" s="10">
        <f ca="1" xml:space="preserve"> SUMIF( Time!$J332:$BQ332, Time!AA$28, 'Asset Finance'!$J29:$BQ29)</f>
        <v>0</v>
      </c>
      <c r="AB22" s="10">
        <f ca="1" xml:space="preserve"> SUMIF( Time!$J332:$BQ332, Time!AB$28, 'Asset Finance'!$J29:$BQ29)</f>
        <v>0</v>
      </c>
      <c r="AC22" s="10">
        <f ca="1" xml:space="preserve"> SUMIF( Time!$J332:$BQ332, Time!AC$28, 'Asset Finance'!$J29:$BQ29)</f>
        <v>0</v>
      </c>
    </row>
    <row r="23" spans="5:2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0</v>
      </c>
      <c r="I23" s="17">
        <f xml:space="preserve"> 'Supply Chain finance'!I$48</f>
        <v>0</v>
      </c>
      <c r="J23" s="10">
        <f ca="1" xml:space="preserve"> SUMIF( Time!$J332:$BQ332, Time!J$28, 'Supply Chain finance'!$J48:$BQ48)</f>
        <v>0</v>
      </c>
      <c r="K23" s="10">
        <f ca="1" xml:space="preserve"> SUMIF( Time!$J332:$BQ332, Time!K$28, 'Supply Chain finance'!$J48:$BQ48)</f>
        <v>0</v>
      </c>
      <c r="L23" s="10">
        <f ca="1" xml:space="preserve"> SUMIF( Time!$J332:$BQ332, Time!L$28, 'Supply Chain finance'!$J48:$BQ48)</f>
        <v>0</v>
      </c>
      <c r="M23" s="10">
        <f ca="1" xml:space="preserve"> SUMIF( Time!$J332:$BQ332, Time!M$28, 'Supply Chain finance'!$J48:$BQ48)</f>
        <v>0</v>
      </c>
      <c r="N23" s="10">
        <f ca="1" xml:space="preserve"> SUMIF( Time!$J332:$BQ332, Time!N$28, 'Supply Chain finance'!$J48:$BQ48)</f>
        <v>0</v>
      </c>
      <c r="O23" s="10">
        <f ca="1" xml:space="preserve"> SUMIF( Time!$J332:$BQ332, Time!O$28, 'Supply Chain finance'!$J48:$BQ48)</f>
        <v>0</v>
      </c>
      <c r="P23" s="10">
        <f ca="1" xml:space="preserve"> SUMIF( Time!$J332:$BQ332, Time!P$28, 'Supply Chain finance'!$J48:$BQ48)</f>
        <v>0</v>
      </c>
      <c r="Q23" s="10">
        <f ca="1" xml:space="preserve"> SUMIF( Time!$J332:$BQ332, Time!Q$28, 'Supply Chain finance'!$J48:$BQ48)</f>
        <v>0</v>
      </c>
      <c r="R23" s="10">
        <f ca="1" xml:space="preserve"> SUMIF( Time!$J332:$BQ332, Time!R$28, 'Supply Chain finance'!$J48:$BQ48)</f>
        <v>0</v>
      </c>
      <c r="S23" s="10">
        <f ca="1" xml:space="preserve"> SUMIF( Time!$J332:$BQ332, Time!S$28, 'Supply Chain finance'!$J48:$BQ48)</f>
        <v>0</v>
      </c>
      <c r="T23" s="10">
        <f ca="1" xml:space="preserve"> SUMIF( Time!$J332:$BQ332, Time!T$28, 'Supply Chain finance'!$J48:$BQ48)</f>
        <v>0</v>
      </c>
      <c r="U23" s="10">
        <f ca="1" xml:space="preserve"> SUMIF( Time!$J332:$BQ332, Time!U$28, 'Supply Chain finance'!$J48:$BQ48)</f>
        <v>0</v>
      </c>
      <c r="V23" s="10">
        <f ca="1" xml:space="preserve"> SUMIF( Time!$J332:$BQ332, Time!V$28, 'Supply Chain finance'!$J48:$BQ48)</f>
        <v>0</v>
      </c>
      <c r="W23" s="10">
        <f ca="1" xml:space="preserve"> SUMIF( Time!$J332:$BQ332, Time!W$28, 'Supply Chain finance'!$J48:$BQ48)</f>
        <v>0</v>
      </c>
      <c r="X23" s="10">
        <f ca="1" xml:space="preserve"> SUMIF( Time!$J332:$BQ332, Time!X$28, 'Supply Chain finance'!$J48:$BQ48)</f>
        <v>0</v>
      </c>
      <c r="Y23" s="10">
        <f ca="1" xml:space="preserve"> SUMIF( Time!$J332:$BQ332, Time!Y$28, 'Supply Chain finance'!$J48:$BQ48)</f>
        <v>0</v>
      </c>
      <c r="Z23" s="10">
        <f ca="1" xml:space="preserve"> SUMIF( Time!$J332:$BQ332, Time!Z$28, 'Supply Chain finance'!$J48:$BQ48)</f>
        <v>0</v>
      </c>
      <c r="AA23" s="10">
        <f ca="1" xml:space="preserve"> SUMIF( Time!$J332:$BQ332, Time!AA$28, 'Supply Chain finance'!$J48:$BQ48)</f>
        <v>0</v>
      </c>
      <c r="AB23" s="10">
        <f ca="1" xml:space="preserve"> SUMIF( Time!$J332:$BQ332, Time!AB$28, 'Supply Chain finance'!$J48:$BQ48)</f>
        <v>0</v>
      </c>
      <c r="AC23" s="10">
        <f ca="1" xml:space="preserve"> SUMIF( Time!$J332:$BQ332, Time!AC$28, 'Supply Chain finance'!$J48:$BQ48)</f>
        <v>0</v>
      </c>
    </row>
    <row r="24" spans="5:2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0</v>
      </c>
      <c r="I24" s="17">
        <f xml:space="preserve"> 'Invoice finance'!I$47</f>
        <v>0</v>
      </c>
      <c r="J24" s="10">
        <f ca="1" xml:space="preserve"> SUMIF( Time!$J332:$BQ332, Time!J$28, 'Invoice finance'!$J47:$BQ47)</f>
        <v>0</v>
      </c>
      <c r="K24" s="10">
        <f ca="1" xml:space="preserve"> SUMIF( Time!$J332:$BQ332, Time!K$28, 'Invoice finance'!$J47:$BQ47)</f>
        <v>0</v>
      </c>
      <c r="L24" s="10">
        <f ca="1" xml:space="preserve"> SUMIF( Time!$J332:$BQ332, Time!L$28, 'Invoice finance'!$J47:$BQ47)</f>
        <v>0</v>
      </c>
      <c r="M24" s="10">
        <f ca="1" xml:space="preserve"> SUMIF( Time!$J332:$BQ332, Time!M$28, 'Invoice finance'!$J47:$BQ47)</f>
        <v>0</v>
      </c>
      <c r="N24" s="10">
        <f ca="1" xml:space="preserve"> SUMIF( Time!$J332:$BQ332, Time!N$28, 'Invoice finance'!$J47:$BQ47)</f>
        <v>0</v>
      </c>
      <c r="O24" s="10">
        <f ca="1" xml:space="preserve"> SUMIF( Time!$J332:$BQ332, Time!O$28, 'Invoice finance'!$J47:$BQ47)</f>
        <v>0</v>
      </c>
      <c r="P24" s="10">
        <f ca="1" xml:space="preserve"> SUMIF( Time!$J332:$BQ332, Time!P$28, 'Invoice finance'!$J47:$BQ47)</f>
        <v>0</v>
      </c>
      <c r="Q24" s="10">
        <f ca="1" xml:space="preserve"> SUMIF( Time!$J332:$BQ332, Time!Q$28, 'Invoice finance'!$J47:$BQ47)</f>
        <v>0</v>
      </c>
      <c r="R24" s="10">
        <f ca="1" xml:space="preserve"> SUMIF( Time!$J332:$BQ332, Time!R$28, 'Invoice finance'!$J47:$BQ47)</f>
        <v>0</v>
      </c>
      <c r="S24" s="10">
        <f ca="1" xml:space="preserve"> SUMIF( Time!$J332:$BQ332, Time!S$28, 'Invoice finance'!$J47:$BQ47)</f>
        <v>0</v>
      </c>
      <c r="T24" s="10">
        <f ca="1" xml:space="preserve"> SUMIF( Time!$J332:$BQ332, Time!T$28, 'Invoice finance'!$J47:$BQ47)</f>
        <v>0</v>
      </c>
      <c r="U24" s="10">
        <f ca="1" xml:space="preserve"> SUMIF( Time!$J332:$BQ332, Time!U$28, 'Invoice finance'!$J47:$BQ47)</f>
        <v>0</v>
      </c>
      <c r="V24" s="10">
        <f ca="1" xml:space="preserve"> SUMIF( Time!$J332:$BQ332, Time!V$28, 'Invoice finance'!$J47:$BQ47)</f>
        <v>0</v>
      </c>
      <c r="W24" s="10">
        <f ca="1" xml:space="preserve"> SUMIF( Time!$J332:$BQ332, Time!W$28, 'Invoice finance'!$J47:$BQ47)</f>
        <v>0</v>
      </c>
      <c r="X24" s="10">
        <f ca="1" xml:space="preserve"> SUMIF( Time!$J332:$BQ332, Time!X$28, 'Invoice finance'!$J47:$BQ47)</f>
        <v>0</v>
      </c>
      <c r="Y24" s="10">
        <f ca="1" xml:space="preserve"> SUMIF( Time!$J332:$BQ332, Time!Y$28, 'Invoice finance'!$J47:$BQ47)</f>
        <v>0</v>
      </c>
      <c r="Z24" s="10">
        <f ca="1" xml:space="preserve"> SUMIF( Time!$J332:$BQ332, Time!Z$28, 'Invoice finance'!$J47:$BQ47)</f>
        <v>0</v>
      </c>
      <c r="AA24" s="10">
        <f ca="1" xml:space="preserve"> SUMIF( Time!$J332:$BQ332, Time!AA$28, 'Invoice finance'!$J47:$BQ47)</f>
        <v>0</v>
      </c>
      <c r="AB24" s="10">
        <f ca="1" xml:space="preserve"> SUMIF( Time!$J332:$BQ332, Time!AB$28, 'Invoice finance'!$J47:$BQ47)</f>
        <v>0</v>
      </c>
      <c r="AC24" s="10">
        <f ca="1" xml:space="preserve"> SUMIF( Time!$J332:$BQ332, Time!AC$28, 'Invoice finance'!$J47:$BQ47)</f>
        <v>0</v>
      </c>
    </row>
    <row r="25" spans="5:29">
      <c r="E25" s="17" t="str">
        <f xml:space="preserve"> 'Asset Finance'!E$48</f>
        <v xml:space="preserve">Asset Finance interest paid </v>
      </c>
      <c r="F25" s="17">
        <f xml:space="preserve"> 'Asset Finance'!F$48</f>
        <v>0</v>
      </c>
      <c r="G25" s="17" t="str">
        <f xml:space="preserve"> 'Asset Finance'!G$48</f>
        <v>GBP</v>
      </c>
      <c r="H25" s="44">
        <f ca="1" xml:space="preserve"> 'Asset Finance'!H$48</f>
        <v>0</v>
      </c>
      <c r="I25" s="17">
        <f xml:space="preserve"> 'Asset Finance'!I$48</f>
        <v>0</v>
      </c>
      <c r="J25" s="10">
        <f ca="1" xml:space="preserve"> SUMIF( Time!$J332:$BQ332, Time!J$28, 'Asset Finance'!$J48:$BQ48)</f>
        <v>0</v>
      </c>
      <c r="K25" s="10">
        <f ca="1" xml:space="preserve"> SUMIF( Time!$J332:$BQ332, Time!K$28, 'Asset Finance'!$J48:$BQ48)</f>
        <v>0</v>
      </c>
      <c r="L25" s="10">
        <f ca="1" xml:space="preserve"> SUMIF( Time!$J332:$BQ332, Time!L$28, 'Asset Finance'!$J48:$BQ48)</f>
        <v>0</v>
      </c>
      <c r="M25" s="10">
        <f ca="1" xml:space="preserve"> SUMIF( Time!$J332:$BQ332, Time!M$28, 'Asset Finance'!$J48:$BQ48)</f>
        <v>0</v>
      </c>
      <c r="N25" s="10">
        <f ca="1" xml:space="preserve"> SUMIF( Time!$J332:$BQ332, Time!N$28, 'Asset Finance'!$J48:$BQ48)</f>
        <v>0</v>
      </c>
      <c r="O25" s="10">
        <f ca="1" xml:space="preserve"> SUMIF( Time!$J332:$BQ332, Time!O$28, 'Asset Finance'!$J48:$BQ48)</f>
        <v>0</v>
      </c>
      <c r="P25" s="10">
        <f ca="1" xml:space="preserve"> SUMIF( Time!$J332:$BQ332, Time!P$28, 'Asset Finance'!$J48:$BQ48)</f>
        <v>0</v>
      </c>
      <c r="Q25" s="10">
        <f ca="1" xml:space="preserve"> SUMIF( Time!$J332:$BQ332, Time!Q$28, 'Asset Finance'!$J48:$BQ48)</f>
        <v>0</v>
      </c>
      <c r="R25" s="10">
        <f ca="1" xml:space="preserve"> SUMIF( Time!$J332:$BQ332, Time!R$28, 'Asset Finance'!$J48:$BQ48)</f>
        <v>0</v>
      </c>
      <c r="S25" s="10">
        <f ca="1" xml:space="preserve"> SUMIF( Time!$J332:$BQ332, Time!S$28, 'Asset Finance'!$J48:$BQ48)</f>
        <v>0</v>
      </c>
      <c r="T25" s="10">
        <f ca="1" xml:space="preserve"> SUMIF( Time!$J332:$BQ332, Time!T$28, 'Asset Finance'!$J48:$BQ48)</f>
        <v>0</v>
      </c>
      <c r="U25" s="10">
        <f ca="1" xml:space="preserve"> SUMIF( Time!$J332:$BQ332, Time!U$28, 'Asset Finance'!$J48:$BQ48)</f>
        <v>0</v>
      </c>
      <c r="V25" s="10">
        <f ca="1" xml:space="preserve"> SUMIF( Time!$J332:$BQ332, Time!V$28, 'Asset Finance'!$J48:$BQ48)</f>
        <v>0</v>
      </c>
      <c r="W25" s="10">
        <f ca="1" xml:space="preserve"> SUMIF( Time!$J332:$BQ332, Time!W$28, 'Asset Finance'!$J48:$BQ48)</f>
        <v>0</v>
      </c>
      <c r="X25" s="10">
        <f ca="1" xml:space="preserve"> SUMIF( Time!$J332:$BQ332, Time!X$28, 'Asset Finance'!$J48:$BQ48)</f>
        <v>0</v>
      </c>
      <c r="Y25" s="10">
        <f ca="1" xml:space="preserve"> SUMIF( Time!$J332:$BQ332, Time!Y$28, 'Asset Finance'!$J48:$BQ48)</f>
        <v>0</v>
      </c>
      <c r="Z25" s="10">
        <f ca="1" xml:space="preserve"> SUMIF( Time!$J332:$BQ332, Time!Z$28, 'Asset Finance'!$J48:$BQ48)</f>
        <v>0</v>
      </c>
      <c r="AA25" s="10">
        <f ca="1" xml:space="preserve"> SUMIF( Time!$J332:$BQ332, Time!AA$28, 'Asset Finance'!$J48:$BQ48)</f>
        <v>0</v>
      </c>
      <c r="AB25" s="10">
        <f ca="1" xml:space="preserve"> SUMIF( Time!$J332:$BQ332, Time!AB$28, 'Asset Finance'!$J48:$BQ48)</f>
        <v>0</v>
      </c>
      <c r="AC25" s="10">
        <f ca="1" xml:space="preserve"> SUMIF( Time!$J332:$BQ332, Time!AC$28, 'Asset Finance'!$J48:$BQ48)</f>
        <v>0</v>
      </c>
    </row>
    <row r="26" spans="5:29">
      <c r="E26" s="12" t="s">
        <v>182</v>
      </c>
      <c r="F26" s="30"/>
      <c r="G26" s="12" t="s">
        <v>257</v>
      </c>
      <c r="H26" s="54">
        <f ca="1" xml:space="preserve"> SUM( J26:BQ26 )</f>
        <v>419383336.21187413</v>
      </c>
      <c r="I26" s="30"/>
      <c r="J26" s="12">
        <f ca="1" xml:space="preserve"> SUMIF( Time!$J332:$BQ332, Time!J$28, Cashflow!$J26:$BQ26)</f>
        <v>-312700</v>
      </c>
      <c r="K26" s="12">
        <f ca="1" xml:space="preserve"> SUMIF( Time!$J332:$BQ332, Time!K$28, Cashflow!$J26:$BQ26)</f>
        <v>796715.64376082877</v>
      </c>
      <c r="L26" s="12">
        <f ca="1" xml:space="preserve"> SUMIF( Time!$J332:$BQ332, Time!L$28, Cashflow!$J26:$BQ26)</f>
        <v>1704846.2564527779</v>
      </c>
      <c r="M26" s="12">
        <f ca="1" xml:space="preserve"> SUMIF( Time!$J332:$BQ332, Time!M$28, Cashflow!$J26:$BQ26)</f>
        <v>283331.41634940635</v>
      </c>
      <c r="N26" s="12">
        <f ca="1" xml:space="preserve"> SUMIF( Time!$J332:$BQ332, Time!N$28, Cashflow!$J26:$BQ26)</f>
        <v>7108051.203713391</v>
      </c>
      <c r="O26" s="12">
        <f ca="1" xml:space="preserve"> SUMIF( Time!$J332:$BQ332, Time!O$28, Cashflow!$J26:$BQ26)</f>
        <v>8008067.0254911892</v>
      </c>
      <c r="P26" s="12">
        <f ca="1" xml:space="preserve"> SUMIF( Time!$J332:$BQ332, Time!P$28, Cashflow!$J26:$BQ26)</f>
        <v>1569317.7179938215</v>
      </c>
      <c r="Q26" s="12">
        <f ca="1" xml:space="preserve"> SUMIF( Time!$J332:$BQ332, Time!Q$28, Cashflow!$J26:$BQ26)</f>
        <v>1177967.8102279212</v>
      </c>
      <c r="R26" s="12">
        <f ca="1" xml:space="preserve"> SUMIF( Time!$J332:$BQ332, Time!R$28, Cashflow!$J26:$BQ26)</f>
        <v>14600695.927376609</v>
      </c>
      <c r="S26" s="12">
        <f ca="1" xml:space="preserve"> SUMIF( Time!$J332:$BQ332, Time!S$28, Cashflow!$J26:$BQ26)</f>
        <v>9349513.202240143</v>
      </c>
      <c r="T26" s="12">
        <f ca="1" xml:space="preserve"> SUMIF( Time!$J332:$BQ332, Time!T$28, Cashflow!$J26:$BQ26)</f>
        <v>8790901.907288976</v>
      </c>
      <c r="U26" s="12">
        <f ca="1" xml:space="preserve"> SUMIF( Time!$J332:$BQ332, Time!U$28, Cashflow!$J26:$BQ26)</f>
        <v>11185808.925470363</v>
      </c>
      <c r="V26" s="12">
        <f ca="1" xml:space="preserve"> SUMIF( Time!$J332:$BQ332, Time!V$28, Cashflow!$J26:$BQ26)</f>
        <v>23732727.589544497</v>
      </c>
      <c r="W26" s="12">
        <f ca="1" xml:space="preserve"> SUMIF( Time!$J332:$BQ332, Time!W$28, Cashflow!$J26:$BQ26)</f>
        <v>16632668.055924855</v>
      </c>
      <c r="X26" s="12">
        <f ca="1" xml:space="preserve"> SUMIF( Time!$J332:$BQ332, Time!X$28, Cashflow!$J26:$BQ26)</f>
        <v>33752383.038495548</v>
      </c>
      <c r="Y26" s="12">
        <f ca="1" xml:space="preserve"> SUMIF( Time!$J332:$BQ332, Time!Y$28, Cashflow!$J26:$BQ26)</f>
        <v>37985916.615211919</v>
      </c>
      <c r="Z26" s="12">
        <f ca="1" xml:space="preserve"> SUMIF( Time!$J332:$BQ332, Time!Z$28, Cashflow!$J26:$BQ26)</f>
        <v>51464873.715458818</v>
      </c>
      <c r="AA26" s="12">
        <f ca="1" xml:space="preserve"> SUMIF( Time!$J332:$BQ332, Time!AA$28, Cashflow!$J26:$BQ26)</f>
        <v>36982142.221686348</v>
      </c>
      <c r="AB26" s="12">
        <f ca="1" xml:space="preserve"> SUMIF( Time!$J332:$BQ332, Time!AB$28, Cashflow!$J26:$BQ26)</f>
        <v>71599608.921169728</v>
      </c>
      <c r="AC26" s="12">
        <f ca="1" xml:space="preserve"> SUMIF( Time!$J332:$BQ332, Time!AC$28, Cashflow!$J26:$BQ26)</f>
        <v>82970499.018016934</v>
      </c>
    </row>
    <row r="28" spans="5:2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Time!$J332:$BQ332, Time!J$28, InpS!$J11:$BQ11)</f>
        <v>0</v>
      </c>
      <c r="K28" s="10">
        <f xml:space="preserve"> SUMIF( Time!$J332:$BQ332, Time!K$28, InpS!$J11:$BQ11)</f>
        <v>0</v>
      </c>
      <c r="L28" s="10">
        <f xml:space="preserve"> SUMIF( Time!$J332:$BQ332, Time!L$28, InpS!$J11:$BQ11)</f>
        <v>0</v>
      </c>
      <c r="M28" s="10">
        <f xml:space="preserve"> SUMIF( Time!$J332:$BQ332, Time!M$28, InpS!$J11:$BQ11)</f>
        <v>0</v>
      </c>
      <c r="N28" s="10">
        <f xml:space="preserve"> SUMIF( Time!$J332:$BQ332, Time!N$28, InpS!$J11:$BQ11)</f>
        <v>0</v>
      </c>
      <c r="O28" s="10">
        <f xml:space="preserve"> SUMIF( Time!$J332:$BQ332, Time!O$28, InpS!$J11:$BQ11)</f>
        <v>0</v>
      </c>
      <c r="P28" s="10">
        <f xml:space="preserve"> SUMIF( Time!$J332:$BQ332, Time!P$28, InpS!$J11:$BQ11)</f>
        <v>0</v>
      </c>
      <c r="Q28" s="10">
        <f xml:space="preserve"> SUMIF( Time!$J332:$BQ332, Time!Q$28, InpS!$J11:$BQ11)</f>
        <v>0</v>
      </c>
      <c r="R28" s="10">
        <f xml:space="preserve"> SUMIF( Time!$J332:$BQ332, Time!R$28, InpS!$J11:$BQ11)</f>
        <v>0</v>
      </c>
      <c r="S28" s="10">
        <f xml:space="preserve"> SUMIF( Time!$J332:$BQ332, Time!S$28, InpS!$J11:$BQ11)</f>
        <v>0</v>
      </c>
      <c r="T28" s="10">
        <f xml:space="preserve"> SUMIF( Time!$J332:$BQ332, Time!T$28, InpS!$J11:$BQ11)</f>
        <v>0</v>
      </c>
      <c r="U28" s="10">
        <f xml:space="preserve"> SUMIF( Time!$J332:$BQ332, Time!U$28, InpS!$J11:$BQ11)</f>
        <v>0</v>
      </c>
      <c r="V28" s="10">
        <f xml:space="preserve"> SUMIF( Time!$J332:$BQ332, Time!V$28, InpS!$J11:$BQ11)</f>
        <v>0</v>
      </c>
      <c r="W28" s="10">
        <f xml:space="preserve"> SUMIF( Time!$J332:$BQ332, Time!W$28, InpS!$J11:$BQ11)</f>
        <v>0</v>
      </c>
      <c r="X28" s="10">
        <f xml:space="preserve"> SUMIF( Time!$J332:$BQ332, Time!X$28, InpS!$J11:$BQ11)</f>
        <v>0</v>
      </c>
      <c r="Y28" s="10">
        <f xml:space="preserve"> SUMIF( Time!$J332:$BQ332, Time!Y$28, InpS!$J11:$BQ11)</f>
        <v>0</v>
      </c>
      <c r="Z28" s="10">
        <f xml:space="preserve"> SUMIF( Time!$J332:$BQ332, Time!Z$28, InpS!$J11:$BQ11)</f>
        <v>0</v>
      </c>
      <c r="AA28" s="10">
        <f xml:space="preserve"> SUMIF( Time!$J332:$BQ332, Time!AA$28, InpS!$J11:$BQ11)</f>
        <v>0</v>
      </c>
      <c r="AB28" s="10">
        <f xml:space="preserve"> SUMIF( Time!$J332:$BQ332, Time!AB$28, InpS!$J11:$BQ11)</f>
        <v>0</v>
      </c>
      <c r="AC28" s="10">
        <f xml:space="preserve"> SUMIF( Time!$J332:$BQ332, Time!AC$28, InpS!$J11:$BQ11)</f>
        <v>0</v>
      </c>
    </row>
    <row r="29" spans="5:29">
      <c r="E29" s="12" t="s">
        <v>114</v>
      </c>
      <c r="F29" s="30"/>
      <c r="G29" s="12" t="s">
        <v>257</v>
      </c>
      <c r="H29" s="54">
        <f ca="1" xml:space="preserve"> SUM( J29:BQ29 )</f>
        <v>419383336.21187413</v>
      </c>
      <c r="I29" s="30"/>
      <c r="J29" s="12">
        <f ca="1" xml:space="preserve"> SUMIF( Time!$J332:$BQ332, Time!J$28, Cashflow!$J29:$BQ29)</f>
        <v>-312700</v>
      </c>
      <c r="K29" s="12">
        <f ca="1" xml:space="preserve"> SUMIF( Time!$J332:$BQ332, Time!K$28, Cashflow!$J29:$BQ29)</f>
        <v>796715.64376082877</v>
      </c>
      <c r="L29" s="12">
        <f ca="1" xml:space="preserve"> SUMIF( Time!$J332:$BQ332, Time!L$28, Cashflow!$J29:$BQ29)</f>
        <v>1704846.2564527779</v>
      </c>
      <c r="M29" s="12">
        <f ca="1" xml:space="preserve"> SUMIF( Time!$J332:$BQ332, Time!M$28, Cashflow!$J29:$BQ29)</f>
        <v>283331.41634940635</v>
      </c>
      <c r="N29" s="12">
        <f ca="1" xml:space="preserve"> SUMIF( Time!$J332:$BQ332, Time!N$28, Cashflow!$J29:$BQ29)</f>
        <v>7108051.203713391</v>
      </c>
      <c r="O29" s="12">
        <f ca="1" xml:space="preserve"> SUMIF( Time!$J332:$BQ332, Time!O$28, Cashflow!$J29:$BQ29)</f>
        <v>8008067.0254911892</v>
      </c>
      <c r="P29" s="12">
        <f ca="1" xml:space="preserve"> SUMIF( Time!$J332:$BQ332, Time!P$28, Cashflow!$J29:$BQ29)</f>
        <v>1569317.7179938215</v>
      </c>
      <c r="Q29" s="12">
        <f ca="1" xml:space="preserve"> SUMIF( Time!$J332:$BQ332, Time!Q$28, Cashflow!$J29:$BQ29)</f>
        <v>1177967.8102279212</v>
      </c>
      <c r="R29" s="12">
        <f ca="1" xml:space="preserve"> SUMIF( Time!$J332:$BQ332, Time!R$28, Cashflow!$J29:$BQ29)</f>
        <v>14600695.927376609</v>
      </c>
      <c r="S29" s="12">
        <f ca="1" xml:space="preserve"> SUMIF( Time!$J332:$BQ332, Time!S$28, Cashflow!$J29:$BQ29)</f>
        <v>9349513.202240143</v>
      </c>
      <c r="T29" s="12">
        <f ca="1" xml:space="preserve"> SUMIF( Time!$J332:$BQ332, Time!T$28, Cashflow!$J29:$BQ29)</f>
        <v>8790901.907288976</v>
      </c>
      <c r="U29" s="12">
        <f ca="1" xml:space="preserve"> SUMIF( Time!$J332:$BQ332, Time!U$28, Cashflow!$J29:$BQ29)</f>
        <v>11185808.925470363</v>
      </c>
      <c r="V29" s="12">
        <f ca="1" xml:space="preserve"> SUMIF( Time!$J332:$BQ332, Time!V$28, Cashflow!$J29:$BQ29)</f>
        <v>23732727.589544497</v>
      </c>
      <c r="W29" s="12">
        <f ca="1" xml:space="preserve"> SUMIF( Time!$J332:$BQ332, Time!W$28, Cashflow!$J29:$BQ29)</f>
        <v>16632668.055924855</v>
      </c>
      <c r="X29" s="12">
        <f ca="1" xml:space="preserve"> SUMIF( Time!$J332:$BQ332, Time!X$28, Cashflow!$J29:$BQ29)</f>
        <v>33752383.038495548</v>
      </c>
      <c r="Y29" s="12">
        <f ca="1" xml:space="preserve"> SUMIF( Time!$J332:$BQ332, Time!Y$28, Cashflow!$J29:$BQ29)</f>
        <v>37985916.615211919</v>
      </c>
      <c r="Z29" s="12">
        <f ca="1" xml:space="preserve"> SUMIF( Time!$J332:$BQ332, Time!Z$28, Cashflow!$J29:$BQ29)</f>
        <v>51464873.715458818</v>
      </c>
      <c r="AA29" s="12">
        <f ca="1" xml:space="preserve"> SUMIF( Time!$J332:$BQ332, Time!AA$28, Cashflow!$J29:$BQ29)</f>
        <v>36982142.221686348</v>
      </c>
      <c r="AB29" s="12">
        <f ca="1" xml:space="preserve"> SUMIF( Time!$J332:$BQ332, Time!AB$28, Cashflow!$J29:$BQ29)</f>
        <v>71599608.921169728</v>
      </c>
      <c r="AC29" s="12">
        <f ca="1" xml:space="preserve"> SUMIF( Time!$J332:$BQ332, Time!AC$28, Cashflow!$J29:$BQ29)</f>
        <v>82970499.018016934</v>
      </c>
    </row>
  </sheetData>
  <conditionalFormatting sqref="F2:F3">
    <cfRule type="cellIs" dxfId="63" priority="1" stopIfTrue="1" operator="notEqual">
      <formula>0</formula>
    </cfRule>
    <cfRule type="cellIs" dxfId="62" priority="2" stopIfTrue="1" operator="equal">
      <formula>""</formula>
    </cfRule>
  </conditionalFormatting>
  <conditionalFormatting sqref="J3:AC3">
    <cfRule type="cellIs" dxfId="61" priority="3" operator="equal">
      <formula>"PPA ext."</formula>
    </cfRule>
    <cfRule type="cellIs" dxfId="60" priority="4" operator="equal">
      <formula>"Delay"</formula>
    </cfRule>
    <cfRule type="cellIs" dxfId="59" priority="5" operator="equal">
      <formula>"Fin Close"</formula>
    </cfRule>
    <cfRule type="cellIs" dxfId="58" priority="6" stopIfTrue="1" operator="equal">
      <formula>"Construction"</formula>
    </cfRule>
    <cfRule type="cellIs" dxfId="5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4F81BD"/>
    <outlinePr summaryBelow="0" summaryRight="0"/>
  </sheetPr>
  <dimension ref="A1:S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44" bestFit="1" customWidth="1"/>
    <col min="6" max="6" width="20.5546875" bestFit="1" customWidth="1"/>
    <col min="7" max="7" width="13.21875" bestFit="1" customWidth="1"/>
    <col min="8" max="8" width="15.109375" style="45" customWidth="1"/>
    <col min="9" max="9" width="3.44140625" customWidth="1"/>
    <col min="10" max="10" width="11.77734375" bestFit="1" customWidth="1"/>
    <col min="11" max="11" width="12.44140625" bestFit="1" customWidth="1"/>
    <col min="12" max="12" width="13.21875" bestFit="1" customWidth="1"/>
    <col min="13" max="13" width="12.44140625" bestFit="1" customWidth="1"/>
    <col min="14" max="15" width="13.21875" bestFit="1" customWidth="1"/>
    <col min="16" max="16" width="13.88671875" bestFit="1" customWidth="1"/>
    <col min="17" max="19" width="14.44140625" bestFit="1" customWidth="1"/>
    <col min="20" max="20" width="15.109375" hidden="1" customWidth="1"/>
    <col min="21" max="16384" width="15.109375" hidden="1"/>
  </cols>
  <sheetData>
    <row r="1" spans="1:19" s="72" customFormat="1" ht="25">
      <c r="A1" s="46" t="str">
        <f ca="1" xml:space="preserve"> RIGHT(CELL("filename", A1), LEN(CELL("filename", A1)) - SEARCH("]", CELL("filename", A1)))</f>
        <v>Cashflow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'Working Capital'!E$22</f>
        <v>Cash in from Sales</v>
      </c>
      <c r="F8" s="17">
        <f xml:space="preserve"> 'Working Capital'!F$22</f>
        <v>0</v>
      </c>
      <c r="G8" s="17" t="str">
        <f xml:space="preserve"> 'Working Capital'!G$22</f>
        <v>GBP</v>
      </c>
      <c r="H8" s="44">
        <f ca="1" xml:space="preserve"> 'Working Capital'!H$22</f>
        <v>690480000</v>
      </c>
      <c r="I8" s="17">
        <f xml:space="preserve"> 'Working Capital'!I$22</f>
        <v>0</v>
      </c>
      <c r="J8" s="10">
        <f ca="1" xml:space="preserve"> SUMIF( Time!$J347:$BQ347, Time!J$28, 'Working Capital'!$J22:$BQ22)</f>
        <v>1512000</v>
      </c>
      <c r="K8" s="10">
        <f ca="1" xml:space="preserve"> SUMIF( Time!$J347:$BQ347, Time!K$28, 'Working Capital'!$J22:$BQ22)</f>
        <v>6048000</v>
      </c>
      <c r="L8" s="10">
        <f ca="1" xml:space="preserve"> SUMIF( Time!$J347:$BQ347, Time!L$28, 'Working Capital'!$J22:$BQ22)</f>
        <v>21599253.289331898</v>
      </c>
      <c r="M8" s="10">
        <f ca="1" xml:space="preserve"> SUMIF( Time!$J347:$BQ347, Time!M$28, 'Working Capital'!$J22:$BQ22)</f>
        <v>8640746.7106681</v>
      </c>
      <c r="N8" s="10">
        <f ca="1" xml:space="preserve"> SUMIF( Time!$J347:$BQ347, Time!N$28, 'Working Capital'!$J22:$BQ22)</f>
        <v>40247253.289331898</v>
      </c>
      <c r="O8" s="10">
        <f ca="1" xml:space="preserve"> SUMIF( Time!$J347:$BQ347, Time!O$28, 'Working Capital'!$J22:$BQ22)</f>
        <v>35352746.710668102</v>
      </c>
      <c r="P8" s="10">
        <f ca="1" xml:space="preserve"> SUMIF( Time!$J347:$BQ347, Time!P$28, 'Working Capital'!$J22:$BQ22)</f>
        <v>75600000</v>
      </c>
      <c r="Q8" s="10">
        <f ca="1" xml:space="preserve"> SUMIF( Time!$J347:$BQ347, Time!Q$28, 'Working Capital'!$J22:$BQ22)</f>
        <v>108360000</v>
      </c>
      <c r="R8" s="10">
        <f ca="1" xml:space="preserve"> SUMIF( Time!$J347:$BQ347, Time!R$28, 'Working Capital'!$J22:$BQ22)</f>
        <v>163800000</v>
      </c>
      <c r="S8" s="10">
        <f ca="1" xml:space="preserve"> SUMIF( Time!$J347:$BQ347, Time!S$28, 'Working Capital'!$J22:$BQ22)</f>
        <v>229320000</v>
      </c>
    </row>
    <row r="9" spans="1:19">
      <c r="E9" s="17" t="str">
        <f xml:space="preserve"> 'Working Capital'!E$52</f>
        <v xml:space="preserve">Cash out on Operating Expense </v>
      </c>
      <c r="F9" s="17">
        <f xml:space="preserve"> 'Working Capital'!F$52</f>
        <v>0</v>
      </c>
      <c r="G9" s="17" t="str">
        <f xml:space="preserve"> 'Working Capital'!G$52</f>
        <v>GBP</v>
      </c>
      <c r="H9" s="44">
        <f ca="1" xml:space="preserve"> 'Working Capital'!H$52</f>
        <v>-78274069.097712979</v>
      </c>
      <c r="I9" s="17">
        <f xml:space="preserve"> 'Working Capital'!I$52</f>
        <v>0</v>
      </c>
      <c r="J9" s="10">
        <f ca="1" xml:space="preserve"> SUMIF( Time!$J347:$BQ347, Time!J$28, 'Working Capital'!$J52:$BQ52)</f>
        <v>-629005.92760944029</v>
      </c>
      <c r="K9" s="10">
        <f ca="1" xml:space="preserve"> SUMIF( Time!$J347:$BQ347, Time!K$28, 'Working Capital'!$J52:$BQ52)</f>
        <v>-1468825.9146138662</v>
      </c>
      <c r="L9" s="10">
        <f ca="1" xml:space="preserve"> SUMIF( Time!$J347:$BQ347, Time!L$28, 'Working Capital'!$J52:$BQ52)</f>
        <v>-1888520.2391598385</v>
      </c>
      <c r="M9" s="10">
        <f ca="1" xml:space="preserve"> SUMIF( Time!$J347:$BQ347, Time!M$28, 'Working Capital'!$J52:$BQ52)</f>
        <v>-2603723.0746577121</v>
      </c>
      <c r="N9" s="10">
        <f ca="1" xml:space="preserve"> SUMIF( Time!$J347:$BQ347, Time!N$28, 'Working Capital'!$J52:$BQ52)</f>
        <v>-4027501.8112623971</v>
      </c>
      <c r="O9" s="10">
        <f ca="1" xml:space="preserve"> SUMIF( Time!$J347:$BQ347, Time!O$28, 'Working Capital'!$J52:$BQ52)</f>
        <v>-6198192.3029695367</v>
      </c>
      <c r="P9" s="10">
        <f ca="1" xml:space="preserve"> SUMIF( Time!$J347:$BQ347, Time!P$28, 'Working Capital'!$J52:$BQ52)</f>
        <v>-8575840.3425922003</v>
      </c>
      <c r="Q9" s="10">
        <f ca="1" xml:space="preserve"> SUMIF( Time!$J347:$BQ347, Time!Q$28, 'Working Capital'!$J52:$BQ52)</f>
        <v>-12046930.604686514</v>
      </c>
      <c r="R9" s="10">
        <f ca="1" xml:space="preserve"> SUMIF( Time!$J347:$BQ347, Time!R$28, 'Working Capital'!$J52:$BQ52)</f>
        <v>-16951610.115805164</v>
      </c>
      <c r="S9" s="10">
        <f ca="1" xml:space="preserve"> SUMIF( Time!$J347:$BQ347, Time!S$28, 'Working Capital'!$J52:$BQ52)</f>
        <v>-23883918.764356308</v>
      </c>
    </row>
    <row r="10" spans="1:19">
      <c r="E10" s="17" t="str">
        <f xml:space="preserve"> VAT!E$38</f>
        <v xml:space="preserve">VAT paid </v>
      </c>
      <c r="F10" s="17">
        <f xml:space="preserve"> VAT!F$38</f>
        <v>0</v>
      </c>
      <c r="G10" s="17" t="str">
        <f xml:space="preserve"> VAT!G$38</f>
        <v>GBP</v>
      </c>
      <c r="H10" s="44">
        <f ca="1" xml:space="preserve"> VAT!H$38</f>
        <v>-105089708.7190737</v>
      </c>
      <c r="I10" s="17">
        <f xml:space="preserve"> VAT!I$38</f>
        <v>0</v>
      </c>
      <c r="J10" s="10">
        <f ca="1" xml:space="preserve"> SUMIF( Time!$J347:$BQ347, Time!J$28, VAT!$J38:$BQ38)</f>
        <v>-83978.428629730886</v>
      </c>
      <c r="K10" s="10">
        <f ca="1" xml:space="preserve"> SUMIF( Time!$J347:$BQ347, Time!K$28, VAT!$J38:$BQ38)</f>
        <v>-1498996.4125839493</v>
      </c>
      <c r="L10" s="10">
        <f ca="1" xml:space="preserve"> SUMIF( Time!$J347:$BQ347, Time!L$28, VAT!$J38:$BQ38)</f>
        <v>-2588145.138800432</v>
      </c>
      <c r="M10" s="10">
        <f ca="1" xml:space="preserve"> SUMIF( Time!$J347:$BQ347, Time!M$28, VAT!$J38:$BQ38)</f>
        <v>-2029738.1077886461</v>
      </c>
      <c r="N10" s="10">
        <f ca="1" xml:space="preserve"> SUMIF( Time!$J347:$BQ347, Time!N$28, VAT!$J38:$BQ38)</f>
        <v>-5437743.3642857205</v>
      </c>
      <c r="O10" s="10">
        <f ca="1" xml:space="preserve"> SUMIF( Time!$J347:$BQ347, Time!O$28, VAT!$J38:$BQ38)</f>
        <v>-5313843.5749392267</v>
      </c>
      <c r="P10" s="10">
        <f ca="1" xml:space="preserve"> SUMIF( Time!$J347:$BQ347, Time!P$28, VAT!$J38:$BQ38)</f>
        <v>-11513157.97397422</v>
      </c>
      <c r="Q10" s="10">
        <f ca="1" xml:space="preserve"> SUMIF( Time!$J347:$BQ347, Time!Q$28, VAT!$J38:$BQ38)</f>
        <v>-16605269.741606019</v>
      </c>
      <c r="R10" s="10">
        <f ca="1" xml:space="preserve"> SUMIF( Time!$J347:$BQ347, Time!R$28, VAT!$J38:$BQ38)</f>
        <v>-25144362.680008724</v>
      </c>
      <c r="S10" s="10">
        <f ca="1" xml:space="preserve"> SUMIF( Time!$J347:$BQ347, Time!S$28, VAT!$J38:$BQ38)</f>
        <v>-34874473.296457037</v>
      </c>
    </row>
    <row r="11" spans="1:19">
      <c r="E11" s="17" t="str">
        <f xml:space="preserve"> 'Corporation tax'!E$69</f>
        <v xml:space="preserve">Corporation tax paid </v>
      </c>
      <c r="F11" s="17">
        <f xml:space="preserve"> 'Corporation tax'!F$69</f>
        <v>0</v>
      </c>
      <c r="G11" s="17" t="str">
        <f xml:space="preserve"> 'Corporation tax'!G$69</f>
        <v>GBP</v>
      </c>
      <c r="H11" s="44">
        <f ca="1" xml:space="preserve"> 'Corporation tax'!H$69</f>
        <v>-37038885.971339248</v>
      </c>
      <c r="I11" s="17">
        <f xml:space="preserve"> 'Corporation tax'!I$69</f>
        <v>0</v>
      </c>
      <c r="J11" s="10">
        <f ca="1" xml:space="preserve"> SUMIF( Time!$J347:$BQ347, Time!J$28, 'Corporation tax'!$J69:$BQ69)</f>
        <v>0</v>
      </c>
      <c r="K11" s="10">
        <f ca="1" xml:space="preserve"> SUMIF( Time!$J347:$BQ347, Time!K$28, 'Corporation tax'!$J69:$BQ69)</f>
        <v>0</v>
      </c>
      <c r="L11" s="10">
        <f ca="1" xml:space="preserve"> SUMIF( Time!$J347:$BQ347, Time!L$28, 'Corporation tax'!$J69:$BQ69)</f>
        <v>-1155969.6821670486</v>
      </c>
      <c r="M11" s="10">
        <f ca="1" xml:space="preserve"> SUMIF( Time!$J347:$BQ347, Time!M$28, 'Corporation tax'!$J69:$BQ69)</f>
        <v>0</v>
      </c>
      <c r="N11" s="10">
        <f ca="1" xml:space="preserve"> SUMIF( Time!$J347:$BQ347, Time!N$28, 'Corporation tax'!$J69:$BQ69)</f>
        <v>-4469298.9841670301</v>
      </c>
      <c r="O11" s="10">
        <f ca="1" xml:space="preserve"> SUMIF( Time!$J347:$BQ347, Time!O$28, 'Corporation tax'!$J69:$BQ69)</f>
        <v>0</v>
      </c>
      <c r="P11" s="10">
        <f ca="1" xml:space="preserve"> SUMIF( Time!$J347:$BQ347, Time!P$28, 'Corporation tax'!$J69:$BQ69)</f>
        <v>-9433606.0379642248</v>
      </c>
      <c r="Q11" s="10">
        <f ca="1" xml:space="preserve"> SUMIF( Time!$J347:$BQ347, Time!Q$28, 'Corporation tax'!$J69:$BQ69)</f>
        <v>0</v>
      </c>
      <c r="R11" s="10">
        <f ca="1" xml:space="preserve"> SUMIF( Time!$J347:$BQ347, Time!R$28, 'Corporation tax'!$J69:$BQ69)</f>
        <v>-21980011.267040946</v>
      </c>
      <c r="S11" s="10">
        <f ca="1" xml:space="preserve"> SUMIF( Time!$J347:$BQ347, Time!S$28, 'Corporation tax'!$J69:$BQ69)</f>
        <v>0</v>
      </c>
    </row>
    <row r="12" spans="1:19">
      <c r="E12" s="12" t="s">
        <v>113</v>
      </c>
      <c r="F12" s="30"/>
      <c r="G12" s="12" t="s">
        <v>257</v>
      </c>
      <c r="H12" s="54">
        <f ca="1" xml:space="preserve"> SUM( J12:BQ12 )</f>
        <v>470077336.21187401</v>
      </c>
      <c r="I12" s="30"/>
      <c r="J12" s="12">
        <f ca="1" xml:space="preserve"> SUMIF( Time!$J347:$BQ347, Time!J$28, Cashflow!$J12:$BQ12)</f>
        <v>799015.64376082877</v>
      </c>
      <c r="K12" s="12">
        <f ca="1" xml:space="preserve"> SUMIF( Time!$J347:$BQ347, Time!K$28, Cashflow!$J12:$BQ12)</f>
        <v>3080177.6728021842</v>
      </c>
      <c r="L12" s="12">
        <f ca="1" xml:space="preserve"> SUMIF( Time!$J347:$BQ347, Time!L$28, Cashflow!$J12:$BQ12)</f>
        <v>15966618.229204578</v>
      </c>
      <c r="M12" s="12">
        <f ca="1" xml:space="preserve"> SUMIF( Time!$J347:$BQ347, Time!M$28, Cashflow!$J12:$BQ12)</f>
        <v>4007285.5282217427</v>
      </c>
      <c r="N12" s="12">
        <f ca="1" xml:space="preserve"> SUMIF( Time!$J347:$BQ347, Time!N$28, Cashflow!$J12:$BQ12)</f>
        <v>26312709.129616745</v>
      </c>
      <c r="O12" s="12">
        <f ca="1" xml:space="preserve"> SUMIF( Time!$J347:$BQ347, Time!O$28, Cashflow!$J12:$BQ12)</f>
        <v>23840710.832759336</v>
      </c>
      <c r="P12" s="12">
        <f ca="1" xml:space="preserve"> SUMIF( Time!$J347:$BQ347, Time!P$28, Cashflow!$J12:$BQ12)</f>
        <v>46077395.645469353</v>
      </c>
      <c r="Q12" s="12">
        <f ca="1" xml:space="preserve"> SUMIF( Time!$J347:$BQ347, Time!Q$28, Cashflow!$J12:$BQ12)</f>
        <v>79707799.65370746</v>
      </c>
      <c r="R12" s="12">
        <f ca="1" xml:space="preserve"> SUMIF( Time!$J347:$BQ347, Time!R$28, Cashflow!$J12:$BQ12)</f>
        <v>99724015.937145159</v>
      </c>
      <c r="S12" s="12">
        <f ca="1" xml:space="preserve"> SUMIF( Time!$J347:$BQ347, Time!S$28, Cashflow!$J12:$BQ12)</f>
        <v>170561607.93918666</v>
      </c>
    </row>
    <row r="14" spans="1:19">
      <c r="E14" s="17" t="str">
        <f xml:space="preserve"> 'Working Capital'!E$15</f>
        <v xml:space="preserve">Cash out on Inventory </v>
      </c>
      <c r="F14" s="17">
        <f xml:space="preserve"> 'Working Capital'!F$15</f>
        <v>0</v>
      </c>
      <c r="G14" s="17" t="str">
        <f xml:space="preserve"> 'Working Capital'!G$15</f>
        <v>GBP</v>
      </c>
      <c r="H14" s="44">
        <f ca="1" xml:space="preserve"> 'Working Capital'!H$15</f>
        <v>-50694000</v>
      </c>
      <c r="I14" s="17">
        <f xml:space="preserve"> 'Working Capital'!I$15</f>
        <v>0</v>
      </c>
      <c r="J14" s="10">
        <f ca="1" xml:space="preserve"> SUMIF( Time!$J347:$BQ347, Time!J$28, 'Working Capital'!$J15:$BQ15)</f>
        <v>-315000</v>
      </c>
      <c r="K14" s="10">
        <f ca="1" xml:space="preserve"> SUMIF( Time!$J347:$BQ347, Time!K$28, 'Working Capital'!$J15:$BQ15)</f>
        <v>-1091999.9999999998</v>
      </c>
      <c r="L14" s="10">
        <f ca="1" xml:space="preserve"> SUMIF( Time!$J347:$BQ347, Time!L$28, 'Working Capital'!$J15:$BQ15)</f>
        <v>-850499.99999999988</v>
      </c>
      <c r="M14" s="10">
        <f ca="1" xml:space="preserve"> SUMIF( Time!$J347:$BQ347, Time!M$28, 'Working Capital'!$J15:$BQ15)</f>
        <v>-1260000</v>
      </c>
      <c r="N14" s="10">
        <f ca="1" xml:space="preserve"> SUMIF( Time!$J347:$BQ347, Time!N$28, 'Working Capital'!$J15:$BQ15)</f>
        <v>-2362499.9999999995</v>
      </c>
      <c r="O14" s="10">
        <f ca="1" xml:space="preserve"> SUMIF( Time!$J347:$BQ347, Time!O$28, 'Working Capital'!$J15:$BQ15)</f>
        <v>-3864000</v>
      </c>
      <c r="P14" s="10">
        <f ca="1" xml:space="preserve"> SUMIF( Time!$J347:$BQ347, Time!P$28, 'Working Capital'!$J15:$BQ15)</f>
        <v>-5712000</v>
      </c>
      <c r="Q14" s="10">
        <f ca="1" xml:space="preserve"> SUMIF( Time!$J347:$BQ347, Time!Q$28, 'Working Capital'!$J15:$BQ15)</f>
        <v>-7969500</v>
      </c>
      <c r="R14" s="10">
        <f ca="1" xml:space="preserve"> SUMIF( Time!$J347:$BQ347, Time!R$28, 'Working Capital'!$J15:$BQ15)</f>
        <v>-11277000</v>
      </c>
      <c r="S14" s="10">
        <f ca="1" xml:space="preserve"> SUMIF( Time!$J347:$BQ347, Time!S$28, 'Working Capital'!$J15:$BQ15)</f>
        <v>-15991500</v>
      </c>
    </row>
    <row r="15" spans="1:19">
      <c r="E15" s="12" t="s">
        <v>19</v>
      </c>
      <c r="F15" s="30"/>
      <c r="G15" s="12" t="s">
        <v>257</v>
      </c>
      <c r="H15" s="54">
        <f ca="1" xml:space="preserve"> SUM( J15:BQ15 )</f>
        <v>419383336.21187401</v>
      </c>
      <c r="I15" s="30"/>
      <c r="J15" s="12">
        <f ca="1" xml:space="preserve"> SUMIF( Time!$J347:$BQ347, Time!J$28, Cashflow!$J15:$BQ15)</f>
        <v>484015.64376082883</v>
      </c>
      <c r="K15" s="12">
        <f ca="1" xml:space="preserve"> SUMIF( Time!$J347:$BQ347, Time!K$28, Cashflow!$J15:$BQ15)</f>
        <v>1988177.6728021842</v>
      </c>
      <c r="L15" s="12">
        <f ca="1" xml:space="preserve"> SUMIF( Time!$J347:$BQ347, Time!L$28, Cashflow!$J15:$BQ15)</f>
        <v>15116118.229204578</v>
      </c>
      <c r="M15" s="12">
        <f ca="1" xml:space="preserve"> SUMIF( Time!$J347:$BQ347, Time!M$28, Cashflow!$J15:$BQ15)</f>
        <v>2747285.5282217427</v>
      </c>
      <c r="N15" s="12">
        <f ca="1" xml:space="preserve"> SUMIF( Time!$J347:$BQ347, Time!N$28, Cashflow!$J15:$BQ15)</f>
        <v>23950209.129616752</v>
      </c>
      <c r="O15" s="12">
        <f ca="1" xml:space="preserve"> SUMIF( Time!$J347:$BQ347, Time!O$28, Cashflow!$J15:$BQ15)</f>
        <v>19976710.832759336</v>
      </c>
      <c r="P15" s="12">
        <f ca="1" xml:space="preserve"> SUMIF( Time!$J347:$BQ347, Time!P$28, Cashflow!$J15:$BQ15)</f>
        <v>40365395.645469353</v>
      </c>
      <c r="Q15" s="12">
        <f ca="1" xml:space="preserve"> SUMIF( Time!$J347:$BQ347, Time!Q$28, Cashflow!$J15:$BQ15)</f>
        <v>71738299.65370746</v>
      </c>
      <c r="R15" s="12">
        <f ca="1" xml:space="preserve"> SUMIF( Time!$J347:$BQ347, Time!R$28, Cashflow!$J15:$BQ15)</f>
        <v>88447015.937145159</v>
      </c>
      <c r="S15" s="12">
        <f ca="1" xml:space="preserve"> SUMIF( Time!$J347:$BQ347, Time!S$28, Cashflow!$J15:$BQ15)</f>
        <v>154570107.93918666</v>
      </c>
    </row>
    <row r="17" spans="5:1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0</v>
      </c>
      <c r="I17" s="17">
        <f xml:space="preserve"> 'Supply Chain finance'!I$22</f>
        <v>0</v>
      </c>
      <c r="J17" s="10">
        <f xml:space="preserve"> SUMIF( Time!$J347:$BQ347, Time!J$28, 'Supply Chain finance'!$J22:$BQ22)</f>
        <v>0</v>
      </c>
      <c r="K17" s="10">
        <f xml:space="preserve"> SUMIF( Time!$J347:$BQ347, Time!K$28, 'Supply Chain finance'!$J22:$BQ22)</f>
        <v>0</v>
      </c>
      <c r="L17" s="10">
        <f ca="1" xml:space="preserve"> SUMIF( Time!$J347:$BQ347, Time!L$28, 'Supply Chain finance'!$J22:$BQ22)</f>
        <v>0</v>
      </c>
      <c r="M17" s="10">
        <f ca="1" xml:space="preserve"> SUMIF( Time!$J347:$BQ347, Time!M$28, 'Supply Chain finance'!$J22:$BQ22)</f>
        <v>0</v>
      </c>
      <c r="N17" s="10">
        <f ca="1" xml:space="preserve"> SUMIF( Time!$J347:$BQ347, Time!N$28, 'Supply Chain finance'!$J22:$BQ22)</f>
        <v>0</v>
      </c>
      <c r="O17" s="10">
        <f ca="1" xml:space="preserve"> SUMIF( Time!$J347:$BQ347, Time!O$28, 'Supply Chain finance'!$J22:$BQ22)</f>
        <v>0</v>
      </c>
      <c r="P17" s="10">
        <f ca="1" xml:space="preserve"> SUMIF( Time!$J347:$BQ347, Time!P$28, 'Supply Chain finance'!$J22:$BQ22)</f>
        <v>0</v>
      </c>
      <c r="Q17" s="10">
        <f ca="1" xml:space="preserve"> SUMIF( Time!$J347:$BQ347, Time!Q$28, 'Supply Chain finance'!$J22:$BQ22)</f>
        <v>0</v>
      </c>
      <c r="R17" s="10">
        <f ca="1" xml:space="preserve"> SUMIF( Time!$J347:$BQ347, Time!R$28, 'Supply Chain finance'!$J22:$BQ22)</f>
        <v>0</v>
      </c>
      <c r="S17" s="10">
        <f ca="1" xml:space="preserve"> SUMIF( Time!$J347:$BQ347, Time!S$28, 'Supply Chain finance'!$J22:$BQ22)</f>
        <v>0</v>
      </c>
    </row>
    <row r="18" spans="5:1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0</v>
      </c>
      <c r="I18" s="17">
        <f xml:space="preserve"> 'Supply Chain finance'!I$29</f>
        <v>0</v>
      </c>
      <c r="J18" s="10">
        <f ca="1" xml:space="preserve"> SUMIF( Time!$J347:$BQ347, Time!J$28, 'Supply Chain finance'!$J29:$BQ29)</f>
        <v>0</v>
      </c>
      <c r="K18" s="10">
        <f ca="1" xml:space="preserve"> SUMIF( Time!$J347:$BQ347, Time!K$28, 'Supply Chain finance'!$J29:$BQ29)</f>
        <v>0</v>
      </c>
      <c r="L18" s="10">
        <f ca="1" xml:space="preserve"> SUMIF( Time!$J347:$BQ347, Time!L$28, 'Supply Chain finance'!$J29:$BQ29)</f>
        <v>0</v>
      </c>
      <c r="M18" s="10">
        <f ca="1" xml:space="preserve"> SUMIF( Time!$J347:$BQ347, Time!M$28, 'Supply Chain finance'!$J29:$BQ29)</f>
        <v>0</v>
      </c>
      <c r="N18" s="10">
        <f ca="1" xml:space="preserve"> SUMIF( Time!$J347:$BQ347, Time!N$28, 'Supply Chain finance'!$J29:$BQ29)</f>
        <v>0</v>
      </c>
      <c r="O18" s="10">
        <f ca="1" xml:space="preserve"> SUMIF( Time!$J347:$BQ347, Time!O$28, 'Supply Chain finance'!$J29:$BQ29)</f>
        <v>0</v>
      </c>
      <c r="P18" s="10">
        <f ca="1" xml:space="preserve"> SUMIF( Time!$J347:$BQ347, Time!P$28, 'Supply Chain finance'!$J29:$BQ29)</f>
        <v>0</v>
      </c>
      <c r="Q18" s="10">
        <f ca="1" xml:space="preserve"> SUMIF( Time!$J347:$BQ347, Time!Q$28, 'Supply Chain finance'!$J29:$BQ29)</f>
        <v>0</v>
      </c>
      <c r="R18" s="10">
        <f ca="1" xml:space="preserve"> SUMIF( Time!$J347:$BQ347, Time!R$28, 'Supply Chain finance'!$J29:$BQ29)</f>
        <v>0</v>
      </c>
      <c r="S18" s="10">
        <f ca="1" xml:space="preserve"> SUMIF( Time!$J347:$BQ347, Time!S$28, 'Supply Chain finance'!$J29:$BQ29)</f>
        <v>0</v>
      </c>
    </row>
    <row r="19" spans="5:19">
      <c r="E19" s="17" t="str">
        <f xml:space="preserve"> 'Invoice finance'!E$21</f>
        <v>Invoice finance drawdown</v>
      </c>
      <c r="F19" s="17">
        <f xml:space="preserve"> 'Invoice finance'!F$21</f>
        <v>0</v>
      </c>
      <c r="G19" s="17" t="str">
        <f xml:space="preserve"> 'Invoice finance'!G$21</f>
        <v>GBP</v>
      </c>
      <c r="H19" s="44">
        <f ca="1" xml:space="preserve"> 'Invoice finance'!H$21</f>
        <v>0</v>
      </c>
      <c r="I19" s="17">
        <f xml:space="preserve"> 'Invoice finance'!I$21</f>
        <v>0</v>
      </c>
      <c r="J19" s="10">
        <f ca="1" xml:space="preserve"> SUMIF( Time!$J347:$BQ347, Time!J$28, 'Invoice finance'!$J21:$BQ21)</f>
        <v>0</v>
      </c>
      <c r="K19" s="10">
        <f ca="1" xml:space="preserve"> SUMIF( Time!$J347:$BQ347, Time!K$28, 'Invoice finance'!$J21:$BQ21)</f>
        <v>0</v>
      </c>
      <c r="L19" s="10">
        <f ca="1" xml:space="preserve"> SUMIF( Time!$J347:$BQ347, Time!L$28, 'Invoice finance'!$J21:$BQ21)</f>
        <v>0</v>
      </c>
      <c r="M19" s="10">
        <f ca="1" xml:space="preserve"> SUMIF( Time!$J347:$BQ347, Time!M$28, 'Invoice finance'!$J21:$BQ21)</f>
        <v>0</v>
      </c>
      <c r="N19" s="10">
        <f ca="1" xml:space="preserve"> SUMIF( Time!$J347:$BQ347, Time!N$28, 'Invoice finance'!$J21:$BQ21)</f>
        <v>0</v>
      </c>
      <c r="O19" s="10">
        <f ca="1" xml:space="preserve"> SUMIF( Time!$J347:$BQ347, Time!O$28, 'Invoice finance'!$J21:$BQ21)</f>
        <v>0</v>
      </c>
      <c r="P19" s="10">
        <f ca="1" xml:space="preserve"> SUMIF( Time!$J347:$BQ347, Time!P$28, 'Invoice finance'!$J21:$BQ21)</f>
        <v>0</v>
      </c>
      <c r="Q19" s="10">
        <f ca="1" xml:space="preserve"> SUMIF( Time!$J347:$BQ347, Time!Q$28, 'Invoice finance'!$J21:$BQ21)</f>
        <v>0</v>
      </c>
      <c r="R19" s="10">
        <f ca="1" xml:space="preserve"> SUMIF( Time!$J347:$BQ347, Time!R$28, 'Invoice finance'!$J21:$BQ21)</f>
        <v>0</v>
      </c>
      <c r="S19" s="10">
        <f ca="1" xml:space="preserve"> SUMIF( Time!$J347:$BQ347, Time!S$28, 'Invoice finance'!$J21:$BQ21)</f>
        <v>0</v>
      </c>
    </row>
    <row r="20" spans="5:1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0</v>
      </c>
      <c r="I20" s="17">
        <f xml:space="preserve"> 'Invoice finance'!I$28</f>
        <v>0</v>
      </c>
      <c r="J20" s="10">
        <f ca="1" xml:space="preserve"> SUMIF( Time!$J347:$BQ347, Time!J$28, 'Invoice finance'!$J28:$BQ28)</f>
        <v>0</v>
      </c>
      <c r="K20" s="10">
        <f ca="1" xml:space="preserve"> SUMIF( Time!$J347:$BQ347, Time!K$28, 'Invoice finance'!$J28:$BQ28)</f>
        <v>0</v>
      </c>
      <c r="L20" s="10">
        <f ca="1" xml:space="preserve"> SUMIF( Time!$J347:$BQ347, Time!L$28, 'Invoice finance'!$J28:$BQ28)</f>
        <v>0</v>
      </c>
      <c r="M20" s="10">
        <f ca="1" xml:space="preserve"> SUMIF( Time!$J347:$BQ347, Time!M$28, 'Invoice finance'!$J28:$BQ28)</f>
        <v>0</v>
      </c>
      <c r="N20" s="10">
        <f ca="1" xml:space="preserve"> SUMIF( Time!$J347:$BQ347, Time!N$28, 'Invoice finance'!$J28:$BQ28)</f>
        <v>0</v>
      </c>
      <c r="O20" s="10">
        <f ca="1" xml:space="preserve"> SUMIF( Time!$J347:$BQ347, Time!O$28, 'Invoice finance'!$J28:$BQ28)</f>
        <v>0</v>
      </c>
      <c r="P20" s="10">
        <f ca="1" xml:space="preserve"> SUMIF( Time!$J347:$BQ347, Time!P$28, 'Invoice finance'!$J28:$BQ28)</f>
        <v>0</v>
      </c>
      <c r="Q20" s="10">
        <f ca="1" xml:space="preserve"> SUMIF( Time!$J347:$BQ347, Time!Q$28, 'Invoice finance'!$J28:$BQ28)</f>
        <v>0</v>
      </c>
      <c r="R20" s="10">
        <f ca="1" xml:space="preserve"> SUMIF( Time!$J347:$BQ347, Time!R$28, 'Invoice finance'!$J28:$BQ28)</f>
        <v>0</v>
      </c>
      <c r="S20" s="10">
        <f ca="1" xml:space="preserve"> SUMIF( Time!$J347:$BQ347, Time!S$28, 'Invoice finance'!$J28:$BQ28)</f>
        <v>0</v>
      </c>
    </row>
    <row r="21" spans="5:19">
      <c r="E21" s="17" t="str">
        <f xml:space="preserve"> 'Asset Finance'!E$22</f>
        <v>Asset Finance drawdown</v>
      </c>
      <c r="F21" s="17">
        <f xml:space="preserve"> 'Asset Finance'!F$22</f>
        <v>0</v>
      </c>
      <c r="G21" s="17" t="str">
        <f xml:space="preserve"> 'Asset Finance'!G$22</f>
        <v>GBP</v>
      </c>
      <c r="H21" s="44">
        <f ca="1" xml:space="preserve"> 'Asset Finance'!H$22</f>
        <v>0</v>
      </c>
      <c r="I21" s="17">
        <f xml:space="preserve"> 'Asset Finance'!I$22</f>
        <v>0</v>
      </c>
      <c r="J21" s="10">
        <f ca="1" xml:space="preserve"> SUMIF( Time!$J347:$BQ347, Time!J$28, 'Asset Finance'!$J22:$BQ22)</f>
        <v>0</v>
      </c>
      <c r="K21" s="10">
        <f ca="1" xml:space="preserve"> SUMIF( Time!$J347:$BQ347, Time!K$28, 'Asset Finance'!$J22:$BQ22)</f>
        <v>0</v>
      </c>
      <c r="L21" s="10">
        <f ca="1" xml:space="preserve"> SUMIF( Time!$J347:$BQ347, Time!L$28, 'Asset Finance'!$J22:$BQ22)</f>
        <v>0</v>
      </c>
      <c r="M21" s="10">
        <f ca="1" xml:space="preserve"> SUMIF( Time!$J347:$BQ347, Time!M$28, 'Asset Finance'!$J22:$BQ22)</f>
        <v>0</v>
      </c>
      <c r="N21" s="10">
        <f ca="1" xml:space="preserve"> SUMIF( Time!$J347:$BQ347, Time!N$28, 'Asset Finance'!$J22:$BQ22)</f>
        <v>0</v>
      </c>
      <c r="O21" s="10">
        <f ca="1" xml:space="preserve"> SUMIF( Time!$J347:$BQ347, Time!O$28, 'Asset Finance'!$J22:$BQ22)</f>
        <v>0</v>
      </c>
      <c r="P21" s="10">
        <f ca="1" xml:space="preserve"> SUMIF( Time!$J347:$BQ347, Time!P$28, 'Asset Finance'!$J22:$BQ22)</f>
        <v>0</v>
      </c>
      <c r="Q21" s="10">
        <f ca="1" xml:space="preserve"> SUMIF( Time!$J347:$BQ347, Time!Q$28, 'Asset Finance'!$J22:$BQ22)</f>
        <v>0</v>
      </c>
      <c r="R21" s="10">
        <f ca="1" xml:space="preserve"> SUMIF( Time!$J347:$BQ347, Time!R$28, 'Asset Finance'!$J22:$BQ22)</f>
        <v>0</v>
      </c>
      <c r="S21" s="10">
        <f ca="1" xml:space="preserve"> SUMIF( Time!$J347:$BQ347, Time!S$28, 'Asset Finance'!$J22:$BQ22)</f>
        <v>0</v>
      </c>
    </row>
    <row r="22" spans="5:19">
      <c r="E22" s="17" t="str">
        <f xml:space="preserve"> 'Asset Finance'!E$29</f>
        <v xml:space="preserve">Asset Finance principal repayment </v>
      </c>
      <c r="F22" s="17">
        <f xml:space="preserve"> 'Asset Finance'!F$29</f>
        <v>0</v>
      </c>
      <c r="G22" s="17" t="str">
        <f xml:space="preserve"> 'Asset Finance'!G$29</f>
        <v>GBP</v>
      </c>
      <c r="H22" s="44">
        <f ca="1" xml:space="preserve"> 'Asset Finance'!H$29</f>
        <v>0</v>
      </c>
      <c r="I22" s="17">
        <f xml:space="preserve"> 'Asset Finance'!I$29</f>
        <v>0</v>
      </c>
      <c r="J22" s="10">
        <f ca="1" xml:space="preserve"> SUMIF( Time!$J347:$BQ347, Time!J$28, 'Asset Finance'!$J29:$BQ29)</f>
        <v>0</v>
      </c>
      <c r="K22" s="10">
        <f ca="1" xml:space="preserve"> SUMIF( Time!$J347:$BQ347, Time!K$28, 'Asset Finance'!$J29:$BQ29)</f>
        <v>0</v>
      </c>
      <c r="L22" s="10">
        <f ca="1" xml:space="preserve"> SUMIF( Time!$J347:$BQ347, Time!L$28, 'Asset Finance'!$J29:$BQ29)</f>
        <v>0</v>
      </c>
      <c r="M22" s="10">
        <f ca="1" xml:space="preserve"> SUMIF( Time!$J347:$BQ347, Time!M$28, 'Asset Finance'!$J29:$BQ29)</f>
        <v>0</v>
      </c>
      <c r="N22" s="10">
        <f ca="1" xml:space="preserve"> SUMIF( Time!$J347:$BQ347, Time!N$28, 'Asset Finance'!$J29:$BQ29)</f>
        <v>0</v>
      </c>
      <c r="O22" s="10">
        <f ca="1" xml:space="preserve"> SUMIF( Time!$J347:$BQ347, Time!O$28, 'Asset Finance'!$J29:$BQ29)</f>
        <v>0</v>
      </c>
      <c r="P22" s="10">
        <f ca="1" xml:space="preserve"> SUMIF( Time!$J347:$BQ347, Time!P$28, 'Asset Finance'!$J29:$BQ29)</f>
        <v>0</v>
      </c>
      <c r="Q22" s="10">
        <f ca="1" xml:space="preserve"> SUMIF( Time!$J347:$BQ347, Time!Q$28, 'Asset Finance'!$J29:$BQ29)</f>
        <v>0</v>
      </c>
      <c r="R22" s="10">
        <f ca="1" xml:space="preserve"> SUMIF( Time!$J347:$BQ347, Time!R$28, 'Asset Finance'!$J29:$BQ29)</f>
        <v>0</v>
      </c>
      <c r="S22" s="10">
        <f ca="1" xml:space="preserve"> SUMIF( Time!$J347:$BQ347, Time!S$28, 'Asset Finance'!$J29:$BQ29)</f>
        <v>0</v>
      </c>
    </row>
    <row r="23" spans="5:1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0</v>
      </c>
      <c r="I23" s="17">
        <f xml:space="preserve"> 'Supply Chain finance'!I$48</f>
        <v>0</v>
      </c>
      <c r="J23" s="10">
        <f ca="1" xml:space="preserve"> SUMIF( Time!$J347:$BQ347, Time!J$28, 'Supply Chain finance'!$J48:$BQ48)</f>
        <v>0</v>
      </c>
      <c r="K23" s="10">
        <f ca="1" xml:space="preserve"> SUMIF( Time!$J347:$BQ347, Time!K$28, 'Supply Chain finance'!$J48:$BQ48)</f>
        <v>0</v>
      </c>
      <c r="L23" s="10">
        <f ca="1" xml:space="preserve"> SUMIF( Time!$J347:$BQ347, Time!L$28, 'Supply Chain finance'!$J48:$BQ48)</f>
        <v>0</v>
      </c>
      <c r="M23" s="10">
        <f ca="1" xml:space="preserve"> SUMIF( Time!$J347:$BQ347, Time!M$28, 'Supply Chain finance'!$J48:$BQ48)</f>
        <v>0</v>
      </c>
      <c r="N23" s="10">
        <f ca="1" xml:space="preserve"> SUMIF( Time!$J347:$BQ347, Time!N$28, 'Supply Chain finance'!$J48:$BQ48)</f>
        <v>0</v>
      </c>
      <c r="O23" s="10">
        <f ca="1" xml:space="preserve"> SUMIF( Time!$J347:$BQ347, Time!O$28, 'Supply Chain finance'!$J48:$BQ48)</f>
        <v>0</v>
      </c>
      <c r="P23" s="10">
        <f ca="1" xml:space="preserve"> SUMIF( Time!$J347:$BQ347, Time!P$28, 'Supply Chain finance'!$J48:$BQ48)</f>
        <v>0</v>
      </c>
      <c r="Q23" s="10">
        <f ca="1" xml:space="preserve"> SUMIF( Time!$J347:$BQ347, Time!Q$28, 'Supply Chain finance'!$J48:$BQ48)</f>
        <v>0</v>
      </c>
      <c r="R23" s="10">
        <f ca="1" xml:space="preserve"> SUMIF( Time!$J347:$BQ347, Time!R$28, 'Supply Chain finance'!$J48:$BQ48)</f>
        <v>0</v>
      </c>
      <c r="S23" s="10">
        <f ca="1" xml:space="preserve"> SUMIF( Time!$J347:$BQ347, Time!S$28, 'Supply Chain finance'!$J48:$BQ48)</f>
        <v>0</v>
      </c>
    </row>
    <row r="24" spans="5:1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0</v>
      </c>
      <c r="I24" s="17">
        <f xml:space="preserve"> 'Invoice finance'!I$47</f>
        <v>0</v>
      </c>
      <c r="J24" s="10">
        <f ca="1" xml:space="preserve"> SUMIF( Time!$J347:$BQ347, Time!J$28, 'Invoice finance'!$J47:$BQ47)</f>
        <v>0</v>
      </c>
      <c r="K24" s="10">
        <f ca="1" xml:space="preserve"> SUMIF( Time!$J347:$BQ347, Time!K$28, 'Invoice finance'!$J47:$BQ47)</f>
        <v>0</v>
      </c>
      <c r="L24" s="10">
        <f ca="1" xml:space="preserve"> SUMIF( Time!$J347:$BQ347, Time!L$28, 'Invoice finance'!$J47:$BQ47)</f>
        <v>0</v>
      </c>
      <c r="M24" s="10">
        <f ca="1" xml:space="preserve"> SUMIF( Time!$J347:$BQ347, Time!M$28, 'Invoice finance'!$J47:$BQ47)</f>
        <v>0</v>
      </c>
      <c r="N24" s="10">
        <f ca="1" xml:space="preserve"> SUMIF( Time!$J347:$BQ347, Time!N$28, 'Invoice finance'!$J47:$BQ47)</f>
        <v>0</v>
      </c>
      <c r="O24" s="10">
        <f ca="1" xml:space="preserve"> SUMIF( Time!$J347:$BQ347, Time!O$28, 'Invoice finance'!$J47:$BQ47)</f>
        <v>0</v>
      </c>
      <c r="P24" s="10">
        <f ca="1" xml:space="preserve"> SUMIF( Time!$J347:$BQ347, Time!P$28, 'Invoice finance'!$J47:$BQ47)</f>
        <v>0</v>
      </c>
      <c r="Q24" s="10">
        <f ca="1" xml:space="preserve"> SUMIF( Time!$J347:$BQ347, Time!Q$28, 'Invoice finance'!$J47:$BQ47)</f>
        <v>0</v>
      </c>
      <c r="R24" s="10">
        <f ca="1" xml:space="preserve"> SUMIF( Time!$J347:$BQ347, Time!R$28, 'Invoice finance'!$J47:$BQ47)</f>
        <v>0</v>
      </c>
      <c r="S24" s="10">
        <f ca="1" xml:space="preserve"> SUMIF( Time!$J347:$BQ347, Time!S$28, 'Invoice finance'!$J47:$BQ47)</f>
        <v>0</v>
      </c>
    </row>
    <row r="25" spans="5:19">
      <c r="E25" s="17" t="str">
        <f xml:space="preserve"> 'Asset Finance'!E$48</f>
        <v xml:space="preserve">Asset Finance interest paid </v>
      </c>
      <c r="F25" s="17">
        <f xml:space="preserve"> 'Asset Finance'!F$48</f>
        <v>0</v>
      </c>
      <c r="G25" s="17" t="str">
        <f xml:space="preserve"> 'Asset Finance'!G$48</f>
        <v>GBP</v>
      </c>
      <c r="H25" s="44">
        <f ca="1" xml:space="preserve"> 'Asset Finance'!H$48</f>
        <v>0</v>
      </c>
      <c r="I25" s="17">
        <f xml:space="preserve"> 'Asset Finance'!I$48</f>
        <v>0</v>
      </c>
      <c r="J25" s="10">
        <f ca="1" xml:space="preserve"> SUMIF( Time!$J347:$BQ347, Time!J$28, 'Asset Finance'!$J48:$BQ48)</f>
        <v>0</v>
      </c>
      <c r="K25" s="10">
        <f ca="1" xml:space="preserve"> SUMIF( Time!$J347:$BQ347, Time!K$28, 'Asset Finance'!$J48:$BQ48)</f>
        <v>0</v>
      </c>
      <c r="L25" s="10">
        <f ca="1" xml:space="preserve"> SUMIF( Time!$J347:$BQ347, Time!L$28, 'Asset Finance'!$J48:$BQ48)</f>
        <v>0</v>
      </c>
      <c r="M25" s="10">
        <f ca="1" xml:space="preserve"> SUMIF( Time!$J347:$BQ347, Time!M$28, 'Asset Finance'!$J48:$BQ48)</f>
        <v>0</v>
      </c>
      <c r="N25" s="10">
        <f ca="1" xml:space="preserve"> SUMIF( Time!$J347:$BQ347, Time!N$28, 'Asset Finance'!$J48:$BQ48)</f>
        <v>0</v>
      </c>
      <c r="O25" s="10">
        <f ca="1" xml:space="preserve"> SUMIF( Time!$J347:$BQ347, Time!O$28, 'Asset Finance'!$J48:$BQ48)</f>
        <v>0</v>
      </c>
      <c r="P25" s="10">
        <f ca="1" xml:space="preserve"> SUMIF( Time!$J347:$BQ347, Time!P$28, 'Asset Finance'!$J48:$BQ48)</f>
        <v>0</v>
      </c>
      <c r="Q25" s="10">
        <f ca="1" xml:space="preserve"> SUMIF( Time!$J347:$BQ347, Time!Q$28, 'Asset Finance'!$J48:$BQ48)</f>
        <v>0</v>
      </c>
      <c r="R25" s="10">
        <f ca="1" xml:space="preserve"> SUMIF( Time!$J347:$BQ347, Time!R$28, 'Asset Finance'!$J48:$BQ48)</f>
        <v>0</v>
      </c>
      <c r="S25" s="10">
        <f ca="1" xml:space="preserve"> SUMIF( Time!$J347:$BQ347, Time!S$28, 'Asset Finance'!$J48:$BQ48)</f>
        <v>0</v>
      </c>
    </row>
    <row r="26" spans="5:19">
      <c r="E26" s="12" t="s">
        <v>182</v>
      </c>
      <c r="F26" s="30"/>
      <c r="G26" s="12" t="s">
        <v>257</v>
      </c>
      <c r="H26" s="54">
        <f ca="1" xml:space="preserve"> SUM( J26:BQ26 )</f>
        <v>419383336.21187401</v>
      </c>
      <c r="I26" s="30"/>
      <c r="J26" s="12">
        <f ca="1" xml:space="preserve"> SUMIF( Time!$J347:$BQ347, Time!J$28, Cashflow!$J26:$BQ26)</f>
        <v>484015.64376082883</v>
      </c>
      <c r="K26" s="12">
        <f ca="1" xml:space="preserve"> SUMIF( Time!$J347:$BQ347, Time!K$28, Cashflow!$J26:$BQ26)</f>
        <v>1988177.6728021842</v>
      </c>
      <c r="L26" s="12">
        <f ca="1" xml:space="preserve"> SUMIF( Time!$J347:$BQ347, Time!L$28, Cashflow!$J26:$BQ26)</f>
        <v>15116118.229204578</v>
      </c>
      <c r="M26" s="12">
        <f ca="1" xml:space="preserve"> SUMIF( Time!$J347:$BQ347, Time!M$28, Cashflow!$J26:$BQ26)</f>
        <v>2747285.5282217427</v>
      </c>
      <c r="N26" s="12">
        <f ca="1" xml:space="preserve"> SUMIF( Time!$J347:$BQ347, Time!N$28, Cashflow!$J26:$BQ26)</f>
        <v>23950209.129616752</v>
      </c>
      <c r="O26" s="12">
        <f ca="1" xml:space="preserve"> SUMIF( Time!$J347:$BQ347, Time!O$28, Cashflow!$J26:$BQ26)</f>
        <v>19976710.832759336</v>
      </c>
      <c r="P26" s="12">
        <f ca="1" xml:space="preserve"> SUMIF( Time!$J347:$BQ347, Time!P$28, Cashflow!$J26:$BQ26)</f>
        <v>40365395.645469353</v>
      </c>
      <c r="Q26" s="12">
        <f ca="1" xml:space="preserve"> SUMIF( Time!$J347:$BQ347, Time!Q$28, Cashflow!$J26:$BQ26)</f>
        <v>71738299.65370746</v>
      </c>
      <c r="R26" s="12">
        <f ca="1" xml:space="preserve"> SUMIF( Time!$J347:$BQ347, Time!R$28, Cashflow!$J26:$BQ26)</f>
        <v>88447015.937145159</v>
      </c>
      <c r="S26" s="12">
        <f ca="1" xml:space="preserve"> SUMIF( Time!$J347:$BQ347, Time!S$28, Cashflow!$J26:$BQ26)</f>
        <v>154570107.93918666</v>
      </c>
    </row>
    <row r="28" spans="5:1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Time!$J347:$BQ347, Time!J$28, InpS!$J11:$BQ11)</f>
        <v>0</v>
      </c>
      <c r="K28" s="10">
        <f xml:space="preserve"> SUMIF( Time!$J347:$BQ347, Time!K$28, InpS!$J11:$BQ11)</f>
        <v>0</v>
      </c>
      <c r="L28" s="10">
        <f xml:space="preserve"> SUMIF( Time!$J347:$BQ347, Time!L$28, InpS!$J11:$BQ11)</f>
        <v>0</v>
      </c>
      <c r="M28" s="10">
        <f xml:space="preserve"> SUMIF( Time!$J347:$BQ347, Time!M$28, InpS!$J11:$BQ11)</f>
        <v>0</v>
      </c>
      <c r="N28" s="10">
        <f xml:space="preserve"> SUMIF( Time!$J347:$BQ347, Time!N$28, InpS!$J11:$BQ11)</f>
        <v>0</v>
      </c>
      <c r="O28" s="10">
        <f xml:space="preserve"> SUMIF( Time!$J347:$BQ347, Time!O$28, InpS!$J11:$BQ11)</f>
        <v>0</v>
      </c>
      <c r="P28" s="10">
        <f xml:space="preserve"> SUMIF( Time!$J347:$BQ347, Time!P$28, InpS!$J11:$BQ11)</f>
        <v>0</v>
      </c>
      <c r="Q28" s="10">
        <f xml:space="preserve"> SUMIF( Time!$J347:$BQ347, Time!Q$28, InpS!$J11:$BQ11)</f>
        <v>0</v>
      </c>
      <c r="R28" s="10">
        <f xml:space="preserve"> SUMIF( Time!$J347:$BQ347, Time!R$28, InpS!$J11:$BQ11)</f>
        <v>0</v>
      </c>
      <c r="S28" s="10">
        <f xml:space="preserve"> SUMIF( Time!$J347:$BQ347, Time!S$28, InpS!$J11:$BQ11)</f>
        <v>0</v>
      </c>
    </row>
    <row r="29" spans="5:19">
      <c r="E29" s="12" t="s">
        <v>114</v>
      </c>
      <c r="F29" s="30"/>
      <c r="G29" s="12" t="s">
        <v>257</v>
      </c>
      <c r="H29" s="54">
        <f ca="1" xml:space="preserve"> SUM( J29:BQ29 )</f>
        <v>419383336.21187401</v>
      </c>
      <c r="I29" s="30"/>
      <c r="J29" s="12">
        <f ca="1" xml:space="preserve"> SUMIF( Time!$J347:$BQ347, Time!J$28, Cashflow!$J29:$BQ29)</f>
        <v>484015.64376082883</v>
      </c>
      <c r="K29" s="12">
        <f ca="1" xml:space="preserve"> SUMIF( Time!$J347:$BQ347, Time!K$28, Cashflow!$J29:$BQ29)</f>
        <v>1988177.6728021842</v>
      </c>
      <c r="L29" s="12">
        <f ca="1" xml:space="preserve"> SUMIF( Time!$J347:$BQ347, Time!L$28, Cashflow!$J29:$BQ29)</f>
        <v>15116118.229204578</v>
      </c>
      <c r="M29" s="12">
        <f ca="1" xml:space="preserve"> SUMIF( Time!$J347:$BQ347, Time!M$28, Cashflow!$J29:$BQ29)</f>
        <v>2747285.5282217427</v>
      </c>
      <c r="N29" s="12">
        <f ca="1" xml:space="preserve"> SUMIF( Time!$J347:$BQ347, Time!N$28, Cashflow!$J29:$BQ29)</f>
        <v>23950209.129616752</v>
      </c>
      <c r="O29" s="12">
        <f ca="1" xml:space="preserve"> SUMIF( Time!$J347:$BQ347, Time!O$28, Cashflow!$J29:$BQ29)</f>
        <v>19976710.832759336</v>
      </c>
      <c r="P29" s="12">
        <f ca="1" xml:space="preserve"> SUMIF( Time!$J347:$BQ347, Time!P$28, Cashflow!$J29:$BQ29)</f>
        <v>40365395.645469353</v>
      </c>
      <c r="Q29" s="12">
        <f ca="1" xml:space="preserve"> SUMIF( Time!$J347:$BQ347, Time!Q$28, Cashflow!$J29:$BQ29)</f>
        <v>71738299.65370746</v>
      </c>
      <c r="R29" s="12">
        <f ca="1" xml:space="preserve"> SUMIF( Time!$J347:$BQ347, Time!R$28, Cashflow!$J29:$BQ29)</f>
        <v>88447015.937145159</v>
      </c>
      <c r="S29" s="12">
        <f ca="1" xml:space="preserve"> SUMIF( Time!$J347:$BQ347, Time!S$28, Cashflow!$J29:$BQ29)</f>
        <v>154570107.93918666</v>
      </c>
    </row>
  </sheetData>
  <conditionalFormatting sqref="F2:F3">
    <cfRule type="cellIs" dxfId="56" priority="1" stopIfTrue="1" operator="notEqual">
      <formula>0</formula>
    </cfRule>
    <cfRule type="cellIs" dxfId="55" priority="2" stopIfTrue="1" operator="equal">
      <formula>""</formula>
    </cfRule>
  </conditionalFormatting>
  <conditionalFormatting sqref="J3:S3">
    <cfRule type="cellIs" dxfId="54" priority="3" operator="equal">
      <formula>"PPA ext."</formula>
    </cfRule>
    <cfRule type="cellIs" dxfId="53" priority="4" operator="equal">
      <formula>"Delay"</formula>
    </cfRule>
    <cfRule type="cellIs" dxfId="52" priority="5" operator="equal">
      <formula>"Fin Close"</formula>
    </cfRule>
    <cfRule type="cellIs" dxfId="51" priority="6" stopIfTrue="1" operator="equal">
      <formula>"Construction"</formula>
    </cfRule>
    <cfRule type="cellIs" dxfId="5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4F81BD"/>
    <outlinePr summaryBelow="0" summaryRight="0"/>
  </sheetPr>
  <dimension ref="A1:BQ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2" customFormat="1" ht="25">
      <c r="A1" s="46" t="str">
        <f ca="1" xml:space="preserve"> RIGHT(CELL("filename", A1), LEN(CELL("filename", A1)) - SEARCH("]", CELL("filename", A1)))</f>
        <v>Inventory Report</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Customers!J$14</f>
        <v>1000</v>
      </c>
      <c r="K8" s="10">
        <f xml:space="preserve"> Customers!K$14</f>
        <v>1000</v>
      </c>
      <c r="L8" s="10">
        <f xml:space="preserve"> Customers!L$14</f>
        <v>1000</v>
      </c>
      <c r="M8" s="10">
        <f xml:space="preserve"> Customers!M$14</f>
        <v>1000</v>
      </c>
      <c r="N8" s="10">
        <f xml:space="preserve"> Customers!N$14</f>
        <v>3000</v>
      </c>
      <c r="O8" s="10">
        <f xml:space="preserve"> Customers!O$14</f>
        <v>3000</v>
      </c>
      <c r="P8" s="10">
        <f xml:space="preserve"> Customers!P$14</f>
        <v>3000</v>
      </c>
      <c r="Q8" s="10">
        <f xml:space="preserve"> Customers!Q$14</f>
        <v>5000</v>
      </c>
      <c r="R8" s="10">
        <f xml:space="preserve"> Customers!R$14</f>
        <v>5000</v>
      </c>
      <c r="S8" s="10">
        <f xml:space="preserve"> Customers!S$14</f>
        <v>5000</v>
      </c>
      <c r="T8" s="10">
        <f xml:space="preserve"> Customers!T$14</f>
        <v>5000</v>
      </c>
      <c r="U8" s="10">
        <f xml:space="preserve"> Customers!U$14</f>
        <v>5000</v>
      </c>
      <c r="V8" s="10">
        <f xml:space="preserve"> Customers!V$14</f>
        <v>5297.3154717964762</v>
      </c>
      <c r="W8" s="10">
        <f xml:space="preserve"> Customers!W$14</f>
        <v>5612.3102415468647</v>
      </c>
      <c r="X8" s="10">
        <f xml:space="preserve"> Customers!X$14</f>
        <v>5946.035575013605</v>
      </c>
      <c r="Y8" s="10">
        <f xml:space="preserve"> Customers!Y$14</f>
        <v>6299.6052494743653</v>
      </c>
      <c r="Z8" s="10">
        <f xml:space="preserve"> Customers!Z$14</f>
        <v>6674.1992708501712</v>
      </c>
      <c r="AA8" s="10">
        <f xml:space="preserve"> Customers!AA$14</f>
        <v>7071.0678118654751</v>
      </c>
      <c r="AB8" s="10">
        <f xml:space="preserve"> Customers!AB$14</f>
        <v>7491.5353843834073</v>
      </c>
      <c r="AC8" s="10">
        <f xml:space="preserve"> Customers!AC$14</f>
        <v>7937.0052598409975</v>
      </c>
      <c r="AD8" s="10">
        <f xml:space="preserve"> Customers!AD$14</f>
        <v>8408.9641525371462</v>
      </c>
      <c r="AE8" s="10">
        <f xml:space="preserve"> Customers!AE$14</f>
        <v>8908.9871814033941</v>
      </c>
      <c r="AF8" s="10">
        <f xml:space="preserve"> Customers!AF$14</f>
        <v>9438.7431268169366</v>
      </c>
      <c r="AG8" s="10">
        <f xml:space="preserve"> Customers!AG$14</f>
        <v>10000.000000000002</v>
      </c>
      <c r="AH8" s="10">
        <f xml:space="preserve"> Customers!AH$14</f>
        <v>10594.630943592954</v>
      </c>
      <c r="AI8" s="10">
        <f xml:space="preserve"> Customers!AI$14</f>
        <v>11224.620483093731</v>
      </c>
      <c r="AJ8" s="10">
        <f xml:space="preserve"> Customers!AJ$14</f>
        <v>11892.071150027214</v>
      </c>
      <c r="AK8" s="10">
        <f xml:space="preserve"> Customers!AK$14</f>
        <v>12599.210498948736</v>
      </c>
      <c r="AL8" s="10">
        <f xml:space="preserve"> Customers!AL$14</f>
        <v>13348.39854170035</v>
      </c>
      <c r="AM8" s="10">
        <f xml:space="preserve"> Customers!AM$14</f>
        <v>14142.135623730957</v>
      </c>
      <c r="AN8" s="10">
        <f xml:space="preserve"> Customers!AN$14</f>
        <v>14983.070768766824</v>
      </c>
      <c r="AO8" s="10">
        <f xml:space="preserve"> Customers!AO$14</f>
        <v>15874.010519682004</v>
      </c>
      <c r="AP8" s="10">
        <f xml:space="preserve"> Customers!AP$14</f>
        <v>16817.9283050743</v>
      </c>
      <c r="AQ8" s="10">
        <f xml:space="preserve"> Customers!AQ$14</f>
        <v>17817.974362806795</v>
      </c>
      <c r="AR8" s="10">
        <f xml:space="preserve"> Customers!AR$14</f>
        <v>18877.486253633881</v>
      </c>
      <c r="AS8" s="10">
        <f xml:space="preserve"> Customers!AS$14</f>
        <v>20000.000000000011</v>
      </c>
      <c r="AT8" s="10">
        <f xml:space="preserve"> Customers!AT$14</f>
        <v>21189.261887185919</v>
      </c>
      <c r="AU8" s="10">
        <f xml:space="preserve"> Customers!AU$14</f>
        <v>22449.240966187477</v>
      </c>
      <c r="AV8" s="10">
        <f xml:space="preserve"> Customers!AV$14</f>
        <v>23784.142300054442</v>
      </c>
      <c r="AW8" s="10">
        <f xml:space="preserve"> Customers!AW$14</f>
        <v>25198.420997897487</v>
      </c>
      <c r="AX8" s="10">
        <f xml:space="preserve"> Customers!AX$14</f>
        <v>26696.797083400714</v>
      </c>
      <c r="AY8" s="10">
        <f xml:space="preserve"> Customers!AY$14</f>
        <v>28284.271247461929</v>
      </c>
      <c r="AZ8" s="10">
        <f xml:space="preserve"> Customers!AZ$14</f>
        <v>29966.141537533662</v>
      </c>
      <c r="BA8" s="10">
        <f xml:space="preserve"> Customers!BA$14</f>
        <v>31748.021039364026</v>
      </c>
      <c r="BB8" s="10">
        <f xml:space="preserve"> Customers!BB$14</f>
        <v>33635.856610148621</v>
      </c>
      <c r="BC8" s="10">
        <f xml:space="preserve"> Customers!BC$14</f>
        <v>35635.948725613613</v>
      </c>
      <c r="BD8" s="10">
        <f xml:space="preserve"> Customers!BD$14</f>
        <v>37754.972507267783</v>
      </c>
      <c r="BE8" s="10">
        <f xml:space="preserve"> Customers!BE$14</f>
        <v>40000.000000000051</v>
      </c>
      <c r="BF8" s="10">
        <f xml:space="preserve"> Customers!BF$14</f>
        <v>42378.523774371868</v>
      </c>
      <c r="BG8" s="10">
        <f xml:space="preserve"> Customers!BG$14</f>
        <v>44898.481932374983</v>
      </c>
      <c r="BH8" s="10">
        <f xml:space="preserve"> Customers!BH$14</f>
        <v>47568.284600108913</v>
      </c>
      <c r="BI8" s="10">
        <f xml:space="preserve"> Customers!BI$14</f>
        <v>50396.841995795003</v>
      </c>
      <c r="BJ8" s="10">
        <f xml:space="preserve"> Customers!BJ$14</f>
        <v>53393.594166801457</v>
      </c>
      <c r="BK8" s="10">
        <f xml:space="preserve"> Customers!BK$14</f>
        <v>56568.542494923888</v>
      </c>
      <c r="BL8" s="10">
        <f xml:space="preserve"> Customers!BL$14</f>
        <v>59932.283075067353</v>
      </c>
      <c r="BM8" s="10">
        <f xml:space="preserve"> Customers!BM$14</f>
        <v>63496.042078728082</v>
      </c>
      <c r="BN8" s="10">
        <f xml:space="preserve"> Customers!BN$14</f>
        <v>67271.713220297272</v>
      </c>
      <c r="BO8" s="10">
        <f xml:space="preserve"> Customers!BO$14</f>
        <v>71271.897451227269</v>
      </c>
      <c r="BP8" s="10">
        <f xml:space="preserve"> Customers!BP$14</f>
        <v>75509.94501453561</v>
      </c>
      <c r="BQ8" s="10">
        <f xml:space="preserve"> Customers!BQ$14</f>
        <v>80000.000000000146</v>
      </c>
    </row>
    <row r="9" spans="1:6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Customers!J$35</f>
        <v>0</v>
      </c>
      <c r="K9" s="10">
        <f ca="1" xml:space="preserve"> Customers!K$35</f>
        <v>0</v>
      </c>
      <c r="L9" s="10">
        <f ca="1" xml:space="preserve"> Customers!L$35</f>
        <v>0</v>
      </c>
      <c r="M9" s="10">
        <f ca="1" xml:space="preserve"> Customers!M$35</f>
        <v>0</v>
      </c>
      <c r="N9" s="10">
        <f ca="1" xml:space="preserve"> Customers!N$35</f>
        <v>0</v>
      </c>
      <c r="O9" s="10">
        <f ca="1" xml:space="preserve"> Customers!O$35</f>
        <v>0</v>
      </c>
      <c r="P9" s="10">
        <f ca="1" xml:space="preserve"> Customers!P$35</f>
        <v>0</v>
      </c>
      <c r="Q9" s="10">
        <f ca="1" xml:space="preserve"> Customers!Q$35</f>
        <v>0</v>
      </c>
      <c r="R9" s="10">
        <f ca="1" xml:space="preserve"> Customers!R$35</f>
        <v>0</v>
      </c>
      <c r="S9" s="10">
        <f ca="1" xml:space="preserve"> Customers!S$35</f>
        <v>0</v>
      </c>
      <c r="T9" s="10">
        <f ca="1" xml:space="preserve"> Customers!T$35</f>
        <v>0</v>
      </c>
      <c r="U9" s="10">
        <f ca="1" xml:space="preserve"> Customers!U$35</f>
        <v>0</v>
      </c>
      <c r="V9" s="10">
        <f ca="1" xml:space="preserve"> Customers!V$35</f>
        <v>0</v>
      </c>
      <c r="W9" s="10">
        <f ca="1" xml:space="preserve"> Customers!W$35</f>
        <v>0</v>
      </c>
      <c r="X9" s="10">
        <f ca="1" xml:space="preserve"> Customers!X$35</f>
        <v>0</v>
      </c>
      <c r="Y9" s="10">
        <f ca="1" xml:space="preserve"> Customers!Y$35</f>
        <v>0</v>
      </c>
      <c r="Z9" s="10">
        <f ca="1" xml:space="preserve"> Customers!Z$35</f>
        <v>0</v>
      </c>
      <c r="AA9" s="10">
        <f ca="1" xml:space="preserve"> Customers!AA$35</f>
        <v>0</v>
      </c>
      <c r="AB9" s="10">
        <f ca="1" xml:space="preserve"> Customers!AB$35</f>
        <v>0</v>
      </c>
      <c r="AC9" s="10">
        <f ca="1" xml:space="preserve"> Customers!AC$35</f>
        <v>0</v>
      </c>
      <c r="AD9" s="10">
        <f ca="1" xml:space="preserve"> Customers!AD$35</f>
        <v>0</v>
      </c>
      <c r="AE9" s="10">
        <f ca="1" xml:space="preserve"> Customers!AE$35</f>
        <v>0</v>
      </c>
      <c r="AF9" s="10">
        <f ca="1" xml:space="preserve"> Customers!AF$35</f>
        <v>0</v>
      </c>
      <c r="AG9" s="10">
        <f ca="1" xml:space="preserve"> Customers!AG$35</f>
        <v>0</v>
      </c>
      <c r="AH9" s="10">
        <f ca="1" xml:space="preserve"> Customers!AH$35</f>
        <v>900</v>
      </c>
      <c r="AI9" s="10">
        <f ca="1" xml:space="preserve"> Customers!AI$35</f>
        <v>900</v>
      </c>
      <c r="AJ9" s="10">
        <f ca="1" xml:space="preserve"> Customers!AJ$35</f>
        <v>900</v>
      </c>
      <c r="AK9" s="10">
        <f ca="1" xml:space="preserve"> Customers!AK$35</f>
        <v>900</v>
      </c>
      <c r="AL9" s="10">
        <f ca="1" xml:space="preserve"> Customers!AL$35</f>
        <v>2700</v>
      </c>
      <c r="AM9" s="10">
        <f ca="1" xml:space="preserve"> Customers!AM$35</f>
        <v>2700</v>
      </c>
      <c r="AN9" s="10">
        <f ca="1" xml:space="preserve"> Customers!AN$35</f>
        <v>2700</v>
      </c>
      <c r="AO9" s="10">
        <f ca="1" xml:space="preserve"> Customers!AO$35</f>
        <v>4500</v>
      </c>
      <c r="AP9" s="10">
        <f ca="1" xml:space="preserve"> Customers!AP$35</f>
        <v>4500</v>
      </c>
      <c r="AQ9" s="10">
        <f ca="1" xml:space="preserve"> Customers!AQ$35</f>
        <v>4500</v>
      </c>
      <c r="AR9" s="10">
        <f ca="1" xml:space="preserve"> Customers!AR$35</f>
        <v>4500</v>
      </c>
      <c r="AS9" s="10">
        <f ca="1" xml:space="preserve"> Customers!AS$35</f>
        <v>4500</v>
      </c>
      <c r="AT9" s="10">
        <f ca="1" xml:space="preserve"> Customers!AT$35</f>
        <v>4767.5839246168289</v>
      </c>
      <c r="AU9" s="10">
        <f ca="1" xml:space="preserve"> Customers!AU$35</f>
        <v>5051.0792173921782</v>
      </c>
      <c r="AV9" s="10">
        <f ca="1" xml:space="preserve"> Customers!AV$35</f>
        <v>5351.4320175122448</v>
      </c>
      <c r="AW9" s="10">
        <f ca="1" xml:space="preserve"> Customers!AW$35</f>
        <v>5669.6447245269292</v>
      </c>
      <c r="AX9" s="10">
        <f ca="1" xml:space="preserve"> Customers!AX$35</f>
        <v>6006.7793437651544</v>
      </c>
      <c r="AY9" s="10">
        <f ca="1" xml:space="preserve"> Customers!AY$35</f>
        <v>6363.9610306789273</v>
      </c>
      <c r="AZ9" s="10">
        <f ca="1" xml:space="preserve"> Customers!AZ$35</f>
        <v>6742.3818459450667</v>
      </c>
      <c r="BA9" s="10">
        <f ca="1" xml:space="preserve"> Customers!BA$35</f>
        <v>7143.3047338568977</v>
      </c>
      <c r="BB9" s="10">
        <f ca="1" xml:space="preserve"> Customers!BB$35</f>
        <v>7568.0677372834316</v>
      </c>
      <c r="BC9" s="10">
        <f ca="1" xml:space="preserve"> Customers!BC$35</f>
        <v>8018.088463263055</v>
      </c>
      <c r="BD9" s="10">
        <f ca="1" xml:space="preserve"> Customers!BD$35</f>
        <v>8494.8688141352432</v>
      </c>
      <c r="BE9" s="10">
        <f ca="1" xml:space="preserve"> Customers!BE$35</f>
        <v>9000.0000000000018</v>
      </c>
      <c r="BF9" s="10">
        <f ca="1" xml:space="preserve"> Customers!BF$35</f>
        <v>9535.1678492336596</v>
      </c>
      <c r="BG9" s="10">
        <f ca="1" xml:space="preserve"> Customers!BG$35</f>
        <v>10102.158434784358</v>
      </c>
      <c r="BH9" s="10">
        <f ca="1" xml:space="preserve"> Customers!BH$35</f>
        <v>10702.864035024493</v>
      </c>
      <c r="BI9" s="10">
        <f ca="1" xml:space="preserve"> Customers!BI$35</f>
        <v>11339.289449053862</v>
      </c>
      <c r="BJ9" s="10">
        <f ca="1" xml:space="preserve"> Customers!BJ$35</f>
        <v>12013.558687530314</v>
      </c>
      <c r="BK9" s="10">
        <f ca="1" xml:space="preserve"> Customers!BK$35</f>
        <v>12727.922061357862</v>
      </c>
      <c r="BL9" s="10">
        <f ca="1" xml:space="preserve"> Customers!BL$35</f>
        <v>13484.763691890141</v>
      </c>
      <c r="BM9" s="10">
        <f ca="1" xml:space="preserve"> Customers!BM$35</f>
        <v>14286.609467713804</v>
      </c>
      <c r="BN9" s="10">
        <f ca="1" xml:space="preserve"> Customers!BN$35</f>
        <v>15136.13547456687</v>
      </c>
      <c r="BO9" s="10">
        <f ca="1" xml:space="preserve"> Customers!BO$35</f>
        <v>16036.176926526115</v>
      </c>
      <c r="BP9" s="10">
        <f ca="1" xml:space="preserve"> Customers!BP$35</f>
        <v>16989.737628270494</v>
      </c>
      <c r="BQ9" s="10">
        <f ca="1" xml:space="preserve"> Customers!BQ$35</f>
        <v>18000.000000000011</v>
      </c>
    </row>
    <row r="10" spans="1:6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Customers!J$24</f>
        <v>1000</v>
      </c>
      <c r="K10" s="10">
        <f ca="1">Customers!K$24</f>
        <v>2000</v>
      </c>
      <c r="L10" s="10">
        <f ca="1">Customers!L$24</f>
        <v>1000</v>
      </c>
      <c r="M10" s="10">
        <f ca="1">Customers!M$24</f>
        <v>1000</v>
      </c>
      <c r="N10" s="10">
        <f ca="1">Customers!N$24</f>
        <v>3000</v>
      </c>
      <c r="O10" s="10">
        <f ca="1">Customers!O$24</f>
        <v>5000</v>
      </c>
      <c r="P10" s="10">
        <f ca="1">Customers!P$24</f>
        <v>3000</v>
      </c>
      <c r="Q10" s="10">
        <f ca="1">Customers!Q$24</f>
        <v>5000</v>
      </c>
      <c r="R10" s="10">
        <f ca="1">Customers!R$24</f>
        <v>8000</v>
      </c>
      <c r="S10" s="10">
        <f ca="1">Customers!S$24</f>
        <v>13000</v>
      </c>
      <c r="T10" s="10">
        <f ca="1">Customers!T$24</f>
        <v>8000</v>
      </c>
      <c r="U10" s="10">
        <f ca="1">Customers!U$24</f>
        <v>13000</v>
      </c>
      <c r="V10" s="10">
        <f ca="1">Customers!V$24</f>
        <v>8297.3154717964753</v>
      </c>
      <c r="W10" s="10">
        <f ca="1">Customers!W$24</f>
        <v>5612.3102415468638</v>
      </c>
      <c r="X10" s="10">
        <f ca="1">Customers!X$24</f>
        <v>9855.6612883569433</v>
      </c>
      <c r="Y10" s="10">
        <f ca="1">Customers!Y$24</f>
        <v>6299.6052494743653</v>
      </c>
      <c r="Z10" s="10">
        <f ca="1">Customers!Z$24</f>
        <v>12829.46580868148</v>
      </c>
      <c r="AA10" s="10">
        <f ca="1">Customers!AA$24</f>
        <v>19900.533620546954</v>
      </c>
      <c r="AB10" s="10">
        <f ca="1">Customers!AB$24</f>
        <v>27392.069004930359</v>
      </c>
      <c r="AC10" s="10">
        <f ca="1">Customers!AC$24</f>
        <v>35329.074264771356</v>
      </c>
      <c r="AD10" s="10">
        <f ca="1">Customers!AD$24</f>
        <v>43738.038417308504</v>
      </c>
      <c r="AE10" s="10">
        <f ca="1">Customers!AE$24</f>
        <v>47647.025598711902</v>
      </c>
      <c r="AF10" s="10">
        <f ca="1">Customers!AF$24</f>
        <v>52085.76872552884</v>
      </c>
      <c r="AG10" s="10">
        <f ca="1">Customers!AG$24</f>
        <v>57085.76872552884</v>
      </c>
      <c r="AH10" s="10">
        <f ca="1">Customers!AH$24</f>
        <v>58580.399669121791</v>
      </c>
      <c r="AI10" s="10">
        <f ca="1">Customers!AI$24</f>
        <v>65705.020152215526</v>
      </c>
      <c r="AJ10" s="10">
        <f ca="1">Customers!AJ$24</f>
        <v>68497.091302242741</v>
      </c>
      <c r="AK10" s="10">
        <f ca="1">Customers!AK$24</f>
        <v>76996.301801191483</v>
      </c>
      <c r="AL10" s="10">
        <f ca="1">Customers!AL$24</f>
        <v>83044.700342891825</v>
      </c>
      <c r="AM10" s="10">
        <f ca="1">Customers!AM$24</f>
        <v>89886.835966622777</v>
      </c>
      <c r="AN10" s="10">
        <f ca="1">Customers!AN$24</f>
        <v>97569.906735389595</v>
      </c>
      <c r="AO10" s="10">
        <f ca="1">Customers!AO$24</f>
        <v>107943.9172550716</v>
      </c>
      <c r="AP10" s="10">
        <f ca="1">Customers!AP$24</f>
        <v>114261.8455601459</v>
      </c>
      <c r="AQ10" s="10">
        <f ca="1">Customers!AQ$24</f>
        <v>126579.81992295268</v>
      </c>
      <c r="AR10" s="10">
        <f ca="1">Customers!AR$24</f>
        <v>134957.30617658657</v>
      </c>
      <c r="AS10" s="10">
        <f ca="1">Customers!AS$24</f>
        <v>144457.30617658657</v>
      </c>
      <c r="AT10" s="10">
        <f ca="1">Customers!AT$24</f>
        <v>150414.15198838932</v>
      </c>
      <c r="AU10" s="10">
        <f ca="1">Customers!AU$24</f>
        <v>162914.47217196896</v>
      </c>
      <c r="AV10" s="10">
        <f ca="1">Customers!AV$24</f>
        <v>172050.04648953563</v>
      </c>
      <c r="AW10" s="10">
        <f ca="1">Customers!AW$24</f>
        <v>177918.11221196005</v>
      </c>
      <c r="AX10" s="10">
        <f ca="1">Customers!AX$24</f>
        <v>190621.6886391259</v>
      </c>
      <c r="AY10" s="10">
        <f ca="1">Customers!AY$24</f>
        <v>200269.92091726678</v>
      </c>
      <c r="AZ10" s="10">
        <f ca="1">Customers!AZ$24</f>
        <v>211978.4443007455</v>
      </c>
      <c r="BA10" s="10">
        <f ca="1">Customers!BA$24</f>
        <v>225869.77007396641</v>
      </c>
      <c r="BB10" s="10">
        <f ca="1">Customers!BB$24</f>
        <v>242073.69442139845</v>
      </c>
      <c r="BC10" s="10">
        <f ca="1">Customers!BC$24</f>
        <v>255727.73161027511</v>
      </c>
      <c r="BD10" s="10">
        <f ca="1">Customers!BD$24</f>
        <v>271977.57293167815</v>
      </c>
      <c r="BE10" s="10">
        <f ca="1">Customers!BE$24</f>
        <v>285977.57293167821</v>
      </c>
      <c r="BF10" s="10">
        <f ca="1">Customers!BF$24</f>
        <v>302891.26455528376</v>
      </c>
      <c r="BG10" s="10">
        <f ca="1">Customers!BG$24</f>
        <v>322891.90492244309</v>
      </c>
      <c r="BH10" s="10">
        <f ca="1">Customers!BH$24</f>
        <v>341163.0535575765</v>
      </c>
      <c r="BI10" s="10">
        <f ca="1">Customers!BI$24</f>
        <v>362899.18500242539</v>
      </c>
      <c r="BJ10" s="10">
        <f ca="1">Customers!BJ$24</f>
        <v>383306.33785675722</v>
      </c>
      <c r="BK10" s="10">
        <f ca="1">Customers!BK$24</f>
        <v>407602.80241303897</v>
      </c>
      <c r="BL10" s="10">
        <f ca="1">Customers!BL$24</f>
        <v>431019.84917999641</v>
      </c>
      <c r="BM10" s="10">
        <f ca="1">Customers!BM$24</f>
        <v>458802.5007264383</v>
      </c>
      <c r="BN10" s="10">
        <f ca="1">Customers!BN$24</f>
        <v>486210.34942130244</v>
      </c>
      <c r="BO10" s="10">
        <f ca="1">Customers!BO$24</f>
        <v>513518.42379905586</v>
      </c>
      <c r="BP10" s="10">
        <f ca="1">Customers!BP$24</f>
        <v>546018.10644186195</v>
      </c>
      <c r="BQ10" s="10">
        <f ca="1">Customers!BQ$24</f>
        <v>579018.10644186207</v>
      </c>
    </row>
    <row r="11" spans="1:69">
      <c r="E11" s="17" t="str">
        <f xml:space="preserve"> Inventory!E$33</f>
        <v>Units ordered</v>
      </c>
      <c r="F11" s="17">
        <f xml:space="preserve"> Inventory!F$33</f>
        <v>0</v>
      </c>
      <c r="G11" s="17" t="str">
        <f xml:space="preserve"> Inventory!G$33</f>
        <v>Units</v>
      </c>
      <c r="H11" s="44">
        <f ca="1" xml:space="preserve"> Inventory!H$33</f>
        <v>1650000</v>
      </c>
      <c r="I11" s="17">
        <f xml:space="preserve"> Inventory!I$33</f>
        <v>0</v>
      </c>
      <c r="J11" s="10">
        <f xml:space="preserve"> Inventory!J$33</f>
        <v>0</v>
      </c>
      <c r="K11" s="10">
        <f xml:space="preserve"> Inventory!K$33</f>
        <v>0</v>
      </c>
      <c r="L11" s="10">
        <f xml:space="preserve"> Inventory!L$33</f>
        <v>10000</v>
      </c>
      <c r="M11" s="10">
        <f xml:space="preserve"> Inventory!M$33</f>
        <v>10000</v>
      </c>
      <c r="N11" s="10">
        <f xml:space="preserve"> Inventory!N$33</f>
        <v>10000</v>
      </c>
      <c r="O11" s="10">
        <f xml:space="preserve"> Inventory!O$33</f>
        <v>0</v>
      </c>
      <c r="P11" s="10">
        <f xml:space="preserve"> Inventory!P$33</f>
        <v>10000</v>
      </c>
      <c r="Q11" s="10">
        <f xml:space="preserve"> Inventory!Q$33</f>
        <v>0</v>
      </c>
      <c r="R11" s="10">
        <f xml:space="preserve"> Inventory!R$33</f>
        <v>10000</v>
      </c>
      <c r="S11" s="10">
        <f xml:space="preserve"> Inventory!S$33</f>
        <v>0</v>
      </c>
      <c r="T11" s="10">
        <f xml:space="preserve"> Inventory!T$33</f>
        <v>0</v>
      </c>
      <c r="U11" s="10">
        <f xml:space="preserve"> Inventory!U$33</f>
        <v>0</v>
      </c>
      <c r="V11" s="10">
        <f ca="1" xml:space="preserve"> Inventory!V$33</f>
        <v>0</v>
      </c>
      <c r="W11" s="10">
        <f ca="1" xml:space="preserve"> Inventory!W$33</f>
        <v>0</v>
      </c>
      <c r="X11" s="10">
        <f ca="1" xml:space="preserve"> Inventory!X$33</f>
        <v>5000</v>
      </c>
      <c r="Y11" s="10">
        <f ca="1" xml:space="preserve"> Inventory!Y$33</f>
        <v>5000</v>
      </c>
      <c r="Z11" s="10">
        <f ca="1" xml:space="preserve"> Inventory!Z$33</f>
        <v>5000</v>
      </c>
      <c r="AA11" s="10">
        <f ca="1" xml:space="preserve"> Inventory!AA$33</f>
        <v>10000</v>
      </c>
      <c r="AB11" s="10">
        <f ca="1" xml:space="preserve"> Inventory!AB$33</f>
        <v>5000</v>
      </c>
      <c r="AC11" s="10">
        <f ca="1" xml:space="preserve"> Inventory!AC$33</f>
        <v>10000</v>
      </c>
      <c r="AD11" s="10">
        <f ca="1" xml:space="preserve"> Inventory!AD$33</f>
        <v>5000</v>
      </c>
      <c r="AE11" s="10">
        <f ca="1" xml:space="preserve"> Inventory!AE$33</f>
        <v>10000</v>
      </c>
      <c r="AF11" s="10">
        <f ca="1" xml:space="preserve"> Inventory!AF$33</f>
        <v>10000</v>
      </c>
      <c r="AG11" s="10">
        <f ca="1" xml:space="preserve"> Inventory!AG$33</f>
        <v>10000</v>
      </c>
      <c r="AH11" s="10">
        <f ca="1" xml:space="preserve"> Inventory!AH$33</f>
        <v>10000</v>
      </c>
      <c r="AI11" s="10">
        <f ca="1" xml:space="preserve"> Inventory!AI$33</f>
        <v>15000</v>
      </c>
      <c r="AJ11" s="10">
        <f ca="1" xml:space="preserve"> Inventory!AJ$33</f>
        <v>10000</v>
      </c>
      <c r="AK11" s="10">
        <f ca="1" xml:space="preserve"> Inventory!AK$33</f>
        <v>15000</v>
      </c>
      <c r="AL11" s="10">
        <f ca="1" xml:space="preserve"> Inventory!AL$33</f>
        <v>15000</v>
      </c>
      <c r="AM11" s="10">
        <f ca="1" xml:space="preserve"> Inventory!AM$33</f>
        <v>20000</v>
      </c>
      <c r="AN11" s="10">
        <f ca="1" xml:space="preserve"> Inventory!AN$33</f>
        <v>15000</v>
      </c>
      <c r="AO11" s="10">
        <f ca="1" xml:space="preserve"> Inventory!AO$33</f>
        <v>20000</v>
      </c>
      <c r="AP11" s="10">
        <f ca="1" xml:space="preserve"> Inventory!AP$33</f>
        <v>25000</v>
      </c>
      <c r="AQ11" s="10">
        <f ca="1" xml:space="preserve"> Inventory!AQ$33</f>
        <v>20000</v>
      </c>
      <c r="AR11" s="10">
        <f ca="1" xml:space="preserve"> Inventory!AR$33</f>
        <v>25000</v>
      </c>
      <c r="AS11" s="10">
        <f ca="1" xml:space="preserve"> Inventory!AS$33</f>
        <v>25000</v>
      </c>
      <c r="AT11" s="10">
        <f ca="1" xml:space="preserve"> Inventory!AT$33</f>
        <v>25000</v>
      </c>
      <c r="AU11" s="10">
        <f ca="1" xml:space="preserve"> Inventory!AU$33</f>
        <v>25000</v>
      </c>
      <c r="AV11" s="10">
        <f ca="1" xml:space="preserve"> Inventory!AV$33</f>
        <v>30000</v>
      </c>
      <c r="AW11" s="10">
        <f ca="1" xml:space="preserve"> Inventory!AW$33</f>
        <v>30000</v>
      </c>
      <c r="AX11" s="10">
        <f ca="1" xml:space="preserve"> Inventory!AX$33</f>
        <v>35000</v>
      </c>
      <c r="AY11" s="10">
        <f ca="1" xml:space="preserve"> Inventory!AY$33</f>
        <v>35000</v>
      </c>
      <c r="AZ11" s="10">
        <f ca="1" xml:space="preserve"> Inventory!AZ$33</f>
        <v>35000</v>
      </c>
      <c r="BA11" s="10">
        <f ca="1" xml:space="preserve"> Inventory!BA$33</f>
        <v>40000</v>
      </c>
      <c r="BB11" s="10">
        <f ca="1" xml:space="preserve"> Inventory!BB$33</f>
        <v>40000</v>
      </c>
      <c r="BC11" s="10">
        <f ca="1" xml:space="preserve"> Inventory!BC$33</f>
        <v>45000</v>
      </c>
      <c r="BD11" s="10">
        <f ca="1" xml:space="preserve"> Inventory!BD$33</f>
        <v>45000</v>
      </c>
      <c r="BE11" s="10">
        <f ca="1" xml:space="preserve"> Inventory!BE$33</f>
        <v>50000</v>
      </c>
      <c r="BF11" s="10">
        <f ca="1" xml:space="preserve"> Inventory!BF$33</f>
        <v>50000</v>
      </c>
      <c r="BG11" s="10">
        <f ca="1" xml:space="preserve"> Inventory!BG$33</f>
        <v>55000</v>
      </c>
      <c r="BH11" s="10">
        <f ca="1" xml:space="preserve"> Inventory!BH$33</f>
        <v>60000</v>
      </c>
      <c r="BI11" s="10">
        <f ca="1" xml:space="preserve"> Inventory!BI$33</f>
        <v>60000</v>
      </c>
      <c r="BJ11" s="10">
        <f ca="1" xml:space="preserve"> Inventory!BJ$33</f>
        <v>65000</v>
      </c>
      <c r="BK11" s="10">
        <f ca="1" xml:space="preserve"> Inventory!BK$33</f>
        <v>70000</v>
      </c>
      <c r="BL11" s="10">
        <f ca="1" xml:space="preserve"> Inventory!BL$33</f>
        <v>75000</v>
      </c>
      <c r="BM11" s="10">
        <f ca="1" xml:space="preserve"> Inventory!BM$33</f>
        <v>75000</v>
      </c>
      <c r="BN11" s="10">
        <f ca="1" xml:space="preserve"> Inventory!BN$33</f>
        <v>85000</v>
      </c>
      <c r="BO11" s="10">
        <f ca="1" xml:space="preserve"> Inventory!BO$33</f>
        <v>85000</v>
      </c>
      <c r="BP11" s="10">
        <f ca="1" xml:space="preserve"> Inventory!BP$33</f>
        <v>95000</v>
      </c>
      <c r="BQ11" s="10">
        <f ca="1" xml:space="preserve"> Inventory!BQ$33</f>
        <v>100000</v>
      </c>
    </row>
    <row r="12" spans="1:69">
      <c r="E12" s="17" t="str">
        <f xml:space="preserve"> Inventory!E$50</f>
        <v>Units on order</v>
      </c>
      <c r="F12" s="17">
        <f xml:space="preserve"> Inventory!F$50</f>
        <v>0</v>
      </c>
      <c r="G12" s="17" t="str">
        <f xml:space="preserve"> Inventory!G$50</f>
        <v>Units</v>
      </c>
      <c r="H12" s="44">
        <f xml:space="preserve"> Inventory!H$50</f>
        <v>0</v>
      </c>
      <c r="I12" s="17">
        <f xml:space="preserve"> Inventory!I$50</f>
        <v>0</v>
      </c>
      <c r="J12" s="10">
        <f ca="1">Inventory!J$50</f>
        <v>0</v>
      </c>
      <c r="K12" s="10">
        <f ca="1">Inventory!K$50</f>
        <v>-5000</v>
      </c>
      <c r="L12" s="10">
        <f ca="1">Inventory!L$50</f>
        <v>5000</v>
      </c>
      <c r="M12" s="10">
        <f ca="1">Inventory!M$50</f>
        <v>15000</v>
      </c>
      <c r="N12" s="10">
        <f ca="1">Inventory!N$50</f>
        <v>25000</v>
      </c>
      <c r="O12" s="10">
        <f ca="1">Inventory!O$50</f>
        <v>15000</v>
      </c>
      <c r="P12" s="10">
        <f ca="1">Inventory!P$50</f>
        <v>25000</v>
      </c>
      <c r="Q12" s="10">
        <f ca="1">Inventory!Q$50</f>
        <v>25000</v>
      </c>
      <c r="R12" s="10">
        <f ca="1">Inventory!R$50</f>
        <v>35000</v>
      </c>
      <c r="S12" s="10">
        <f ca="1">Inventory!S$50</f>
        <v>25000</v>
      </c>
      <c r="T12" s="10">
        <f ca="1">Inventory!T$50</f>
        <v>25000</v>
      </c>
      <c r="U12" s="10">
        <f ca="1">Inventory!U$50</f>
        <v>15000</v>
      </c>
      <c r="V12" s="10">
        <f ca="1">Inventory!V$50</f>
        <v>5000</v>
      </c>
      <c r="W12" s="10">
        <f ca="1">Inventory!W$50</f>
        <v>5000</v>
      </c>
      <c r="X12" s="10">
        <f ca="1">Inventory!X$50</f>
        <v>0</v>
      </c>
      <c r="Y12" s="10">
        <f ca="1">Inventory!Y$50</f>
        <v>5000</v>
      </c>
      <c r="Z12" s="10">
        <f ca="1">Inventory!Z$50</f>
        <v>10000</v>
      </c>
      <c r="AA12" s="10">
        <f ca="1">Inventory!AA$50</f>
        <v>20000</v>
      </c>
      <c r="AB12" s="10">
        <f ca="1">Inventory!AB$50</f>
        <v>25000</v>
      </c>
      <c r="AC12" s="10">
        <f ca="1">Inventory!AC$50</f>
        <v>35000</v>
      </c>
      <c r="AD12" s="10">
        <f ca="1">Inventory!AD$50</f>
        <v>35000</v>
      </c>
      <c r="AE12" s="10">
        <f ca="1">Inventory!AE$50</f>
        <v>40000</v>
      </c>
      <c r="AF12" s="10">
        <f ca="1">Inventory!AF$50</f>
        <v>45000</v>
      </c>
      <c r="AG12" s="10">
        <f ca="1">Inventory!AG$50</f>
        <v>45000</v>
      </c>
      <c r="AH12" s="10">
        <f ca="1">Inventory!AH$50</f>
        <v>50000</v>
      </c>
      <c r="AI12" s="10">
        <f ca="1">Inventory!AI$50</f>
        <v>55000</v>
      </c>
      <c r="AJ12" s="10">
        <f ca="1">Inventory!AJ$50</f>
        <v>60000</v>
      </c>
      <c r="AK12" s="10">
        <f ca="1">Inventory!AK$50</f>
        <v>65000</v>
      </c>
      <c r="AL12" s="10">
        <f ca="1">Inventory!AL$50</f>
        <v>70000</v>
      </c>
      <c r="AM12" s="10">
        <f ca="1">Inventory!AM$50</f>
        <v>80000</v>
      </c>
      <c r="AN12" s="10">
        <f ca="1">Inventory!AN$50</f>
        <v>85000</v>
      </c>
      <c r="AO12" s="10">
        <f ca="1">Inventory!AO$50</f>
        <v>90000</v>
      </c>
      <c r="AP12" s="10">
        <f ca="1">Inventory!AP$50</f>
        <v>105000</v>
      </c>
      <c r="AQ12" s="10">
        <f ca="1">Inventory!AQ$50</f>
        <v>110000</v>
      </c>
      <c r="AR12" s="10">
        <f ca="1">Inventory!AR$50</f>
        <v>120000</v>
      </c>
      <c r="AS12" s="10">
        <f ca="1">Inventory!AS$50</f>
        <v>125000</v>
      </c>
      <c r="AT12" s="10">
        <f ca="1">Inventory!AT$50</f>
        <v>135000</v>
      </c>
      <c r="AU12" s="10">
        <f ca="1">Inventory!AU$50</f>
        <v>140000</v>
      </c>
      <c r="AV12" s="10">
        <f ca="1">Inventory!AV$50</f>
        <v>145000</v>
      </c>
      <c r="AW12" s="10">
        <f ca="1">Inventory!AW$50</f>
        <v>155000</v>
      </c>
      <c r="AX12" s="10">
        <f ca="1">Inventory!AX$50</f>
        <v>165000</v>
      </c>
      <c r="AY12" s="10">
        <f ca="1">Inventory!AY$50</f>
        <v>175000</v>
      </c>
      <c r="AZ12" s="10">
        <f ca="1">Inventory!AZ$50</f>
        <v>185000</v>
      </c>
      <c r="BA12" s="10">
        <f ca="1">Inventory!BA$50</f>
        <v>200000</v>
      </c>
      <c r="BB12" s="10">
        <f ca="1">Inventory!BB$50</f>
        <v>210000</v>
      </c>
      <c r="BC12" s="10">
        <f ca="1">Inventory!BC$50</f>
        <v>225000</v>
      </c>
      <c r="BD12" s="10">
        <f ca="1">Inventory!BD$50</f>
        <v>235000</v>
      </c>
      <c r="BE12" s="10">
        <f ca="1">Inventory!BE$50</f>
        <v>250000</v>
      </c>
      <c r="BF12" s="10">
        <f ca="1">Inventory!BF$50</f>
        <v>265000</v>
      </c>
      <c r="BG12" s="10">
        <f ca="1">Inventory!BG$50</f>
        <v>280000</v>
      </c>
      <c r="BH12" s="10">
        <f ca="1">Inventory!BH$50</f>
        <v>300000</v>
      </c>
      <c r="BI12" s="10">
        <f ca="1">Inventory!BI$50</f>
        <v>315000</v>
      </c>
      <c r="BJ12" s="10">
        <f ca="1">Inventory!BJ$50</f>
        <v>335000</v>
      </c>
      <c r="BK12" s="10">
        <f ca="1">Inventory!BK$50</f>
        <v>355000</v>
      </c>
      <c r="BL12" s="10">
        <f ca="1">Inventory!BL$50</f>
        <v>380000</v>
      </c>
      <c r="BM12" s="10">
        <f ca="1">Inventory!BM$50</f>
        <v>400000</v>
      </c>
      <c r="BN12" s="10">
        <f ca="1">Inventory!BN$50</f>
        <v>425000</v>
      </c>
      <c r="BO12" s="10">
        <f ca="1">Inventory!BO$50</f>
        <v>450000</v>
      </c>
      <c r="BP12" s="10">
        <f ca="1">Inventory!BP$50</f>
        <v>480000</v>
      </c>
      <c r="BQ12" s="10">
        <f ca="1">Inventory!BQ$50</f>
        <v>510000</v>
      </c>
    </row>
    <row r="13" spans="1:69">
      <c r="E13" s="17" t="str">
        <f xml:space="preserve"> Inventory!E$41</f>
        <v>Units delivered</v>
      </c>
      <c r="F13" s="17">
        <f xml:space="preserve"> Inventory!F$41</f>
        <v>0</v>
      </c>
      <c r="G13" s="17" t="str">
        <f xml:space="preserve"> Inventory!G$41</f>
        <v>Units</v>
      </c>
      <c r="H13" s="44">
        <f ca="1" xml:space="preserve"> Inventory!H$41</f>
        <v>1140000</v>
      </c>
      <c r="I13" s="17">
        <f xml:space="preserve"> Inventory!I$41</f>
        <v>0</v>
      </c>
      <c r="J13" s="10">
        <f ca="1" xml:space="preserve"> Inventory!J$41</f>
        <v>0</v>
      </c>
      <c r="K13" s="10">
        <f ca="1" xml:space="preserve"> Inventory!K$41</f>
        <v>5000</v>
      </c>
      <c r="L13" s="10">
        <f ca="1" xml:space="preserve"> Inventory!L$41</f>
        <v>0</v>
      </c>
      <c r="M13" s="10">
        <f ca="1" xml:space="preserve"> Inventory!M$41</f>
        <v>0</v>
      </c>
      <c r="N13" s="10">
        <f ca="1" xml:space="preserve"> Inventory!N$41</f>
        <v>0</v>
      </c>
      <c r="O13" s="10">
        <f ca="1" xml:space="preserve"> Inventory!O$41</f>
        <v>10000</v>
      </c>
      <c r="P13" s="10">
        <f ca="1" xml:space="preserve"> Inventory!P$41</f>
        <v>0</v>
      </c>
      <c r="Q13" s="10">
        <f ca="1" xml:space="preserve"> Inventory!Q$41</f>
        <v>0</v>
      </c>
      <c r="R13" s="10">
        <f ca="1" xml:space="preserve"> Inventory!R$41</f>
        <v>0</v>
      </c>
      <c r="S13" s="10">
        <f ca="1" xml:space="preserve"> Inventory!S$41</f>
        <v>10000</v>
      </c>
      <c r="T13" s="10">
        <f ca="1" xml:space="preserve"> Inventory!T$41</f>
        <v>0</v>
      </c>
      <c r="U13" s="10">
        <f ca="1" xml:space="preserve"> Inventory!U$41</f>
        <v>10000</v>
      </c>
      <c r="V13" s="10">
        <f ca="1" xml:space="preserve"> Inventory!V$41</f>
        <v>10000</v>
      </c>
      <c r="W13" s="10">
        <f ca="1" xml:space="preserve"> Inventory!W$41</f>
        <v>0</v>
      </c>
      <c r="X13" s="10">
        <f ca="1" xml:space="preserve"> Inventory!X$41</f>
        <v>10000</v>
      </c>
      <c r="Y13" s="10">
        <f ca="1" xml:space="preserve"> Inventory!Y$41</f>
        <v>0</v>
      </c>
      <c r="Z13" s="10">
        <f ca="1" xml:space="preserve"> Inventory!Z$41</f>
        <v>0</v>
      </c>
      <c r="AA13" s="10">
        <f ca="1" xml:space="preserve"> Inventory!AA$41</f>
        <v>0</v>
      </c>
      <c r="AB13" s="10">
        <f ca="1" xml:space="preserve"> Inventory!AB$41</f>
        <v>0</v>
      </c>
      <c r="AC13" s="10">
        <f ca="1" xml:space="preserve"> Inventory!AC$41</f>
        <v>0</v>
      </c>
      <c r="AD13" s="10">
        <f ca="1" xml:space="preserve"> Inventory!AD$41</f>
        <v>5000</v>
      </c>
      <c r="AE13" s="10">
        <f ca="1" xml:space="preserve"> Inventory!AE$41</f>
        <v>5000</v>
      </c>
      <c r="AF13" s="10">
        <f ca="1" xml:space="preserve"> Inventory!AF$41</f>
        <v>5000</v>
      </c>
      <c r="AG13" s="10">
        <f ca="1" xml:space="preserve"> Inventory!AG$41</f>
        <v>10000</v>
      </c>
      <c r="AH13" s="10">
        <f ca="1" xml:space="preserve"> Inventory!AH$41</f>
        <v>5000</v>
      </c>
      <c r="AI13" s="10">
        <f ca="1" xml:space="preserve"> Inventory!AI$41</f>
        <v>10000</v>
      </c>
      <c r="AJ13" s="10">
        <f ca="1" xml:space="preserve"> Inventory!AJ$41</f>
        <v>5000</v>
      </c>
      <c r="AK13" s="10">
        <f ca="1" xml:space="preserve"> Inventory!AK$41</f>
        <v>10000</v>
      </c>
      <c r="AL13" s="10">
        <f ca="1" xml:space="preserve"> Inventory!AL$41</f>
        <v>10000</v>
      </c>
      <c r="AM13" s="10">
        <f ca="1" xml:space="preserve"> Inventory!AM$41</f>
        <v>10000</v>
      </c>
      <c r="AN13" s="10">
        <f ca="1" xml:space="preserve"> Inventory!AN$41</f>
        <v>10000</v>
      </c>
      <c r="AO13" s="10">
        <f ca="1" xml:space="preserve"> Inventory!AO$41</f>
        <v>15000</v>
      </c>
      <c r="AP13" s="10">
        <f ca="1" xml:space="preserve"> Inventory!AP$41</f>
        <v>10000</v>
      </c>
      <c r="AQ13" s="10">
        <f ca="1" xml:space="preserve"> Inventory!AQ$41</f>
        <v>15000</v>
      </c>
      <c r="AR13" s="10">
        <f ca="1" xml:space="preserve"> Inventory!AR$41</f>
        <v>15000</v>
      </c>
      <c r="AS13" s="10">
        <f ca="1" xml:space="preserve"> Inventory!AS$41</f>
        <v>20000</v>
      </c>
      <c r="AT13" s="10">
        <f ca="1" xml:space="preserve"> Inventory!AT$41</f>
        <v>15000</v>
      </c>
      <c r="AU13" s="10">
        <f ca="1" xml:space="preserve"> Inventory!AU$41</f>
        <v>20000</v>
      </c>
      <c r="AV13" s="10">
        <f ca="1" xml:space="preserve"> Inventory!AV$41</f>
        <v>25000</v>
      </c>
      <c r="AW13" s="10">
        <f ca="1" xml:space="preserve"> Inventory!AW$41</f>
        <v>20000</v>
      </c>
      <c r="AX13" s="10">
        <f ca="1" xml:space="preserve"> Inventory!AX$41</f>
        <v>25000</v>
      </c>
      <c r="AY13" s="10">
        <f ca="1" xml:space="preserve"> Inventory!AY$41</f>
        <v>25000</v>
      </c>
      <c r="AZ13" s="10">
        <f ca="1" xml:space="preserve"> Inventory!AZ$41</f>
        <v>25000</v>
      </c>
      <c r="BA13" s="10">
        <f ca="1" xml:space="preserve"> Inventory!BA$41</f>
        <v>25000</v>
      </c>
      <c r="BB13" s="10">
        <f ca="1" xml:space="preserve"> Inventory!BB$41</f>
        <v>30000</v>
      </c>
      <c r="BC13" s="10">
        <f ca="1" xml:space="preserve"> Inventory!BC$41</f>
        <v>30000</v>
      </c>
      <c r="BD13" s="10">
        <f ca="1" xml:space="preserve"> Inventory!BD$41</f>
        <v>35000</v>
      </c>
      <c r="BE13" s="10">
        <f ca="1" xml:space="preserve"> Inventory!BE$41</f>
        <v>35000</v>
      </c>
      <c r="BF13" s="10">
        <f ca="1" xml:space="preserve"> Inventory!BF$41</f>
        <v>35000</v>
      </c>
      <c r="BG13" s="10">
        <f ca="1" xml:space="preserve"> Inventory!BG$41</f>
        <v>40000</v>
      </c>
      <c r="BH13" s="10">
        <f ca="1" xml:space="preserve"> Inventory!BH$41</f>
        <v>40000</v>
      </c>
      <c r="BI13" s="10">
        <f ca="1" xml:space="preserve"> Inventory!BI$41</f>
        <v>45000</v>
      </c>
      <c r="BJ13" s="10">
        <f ca="1" xml:space="preserve"> Inventory!BJ$41</f>
        <v>45000</v>
      </c>
      <c r="BK13" s="10">
        <f ca="1" xml:space="preserve"> Inventory!BK$41</f>
        <v>50000</v>
      </c>
      <c r="BL13" s="10">
        <f ca="1" xml:space="preserve"> Inventory!BL$41</f>
        <v>50000</v>
      </c>
      <c r="BM13" s="10">
        <f ca="1" xml:space="preserve"> Inventory!BM$41</f>
        <v>55000</v>
      </c>
      <c r="BN13" s="10">
        <f ca="1" xml:space="preserve"> Inventory!BN$41</f>
        <v>60000</v>
      </c>
      <c r="BO13" s="10">
        <f ca="1" xml:space="preserve"> Inventory!BO$41</f>
        <v>60000</v>
      </c>
      <c r="BP13" s="10">
        <f ca="1" xml:space="preserve"> Inventory!BP$41</f>
        <v>65000</v>
      </c>
      <c r="BQ13" s="10">
        <f ca="1" xml:space="preserve"> Inventory!BQ$41</f>
        <v>70000</v>
      </c>
    </row>
    <row r="14" spans="1:6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Inventory!J$18</f>
        <v>0</v>
      </c>
      <c r="K14" s="10">
        <f ca="1" xml:space="preserve"> Inventory!K$18</f>
        <v>0</v>
      </c>
      <c r="L14" s="10">
        <f ca="1" xml:space="preserve"> Inventory!L$18</f>
        <v>0</v>
      </c>
      <c r="M14" s="10">
        <f ca="1" xml:space="preserve"> Inventory!M$18</f>
        <v>0</v>
      </c>
      <c r="N14" s="10">
        <f ca="1" xml:space="preserve"> Inventory!N$18</f>
        <v>0</v>
      </c>
      <c r="O14" s="10">
        <f ca="1" xml:space="preserve"> Inventory!O$18</f>
        <v>0</v>
      </c>
      <c r="P14" s="10">
        <f ca="1" xml:space="preserve"> Inventory!P$18</f>
        <v>0</v>
      </c>
      <c r="Q14" s="10">
        <f ca="1" xml:space="preserve"> Inventory!Q$18</f>
        <v>0</v>
      </c>
      <c r="R14" s="10">
        <f ca="1" xml:space="preserve"> Inventory!R$18</f>
        <v>0</v>
      </c>
      <c r="S14" s="10">
        <f ca="1" xml:space="preserve"> Inventory!S$18</f>
        <v>0</v>
      </c>
      <c r="T14" s="10">
        <f ca="1" xml:space="preserve"> Inventory!T$18</f>
        <v>0</v>
      </c>
      <c r="U14" s="10">
        <f ca="1" xml:space="preserve"> Inventory!U$18</f>
        <v>0</v>
      </c>
      <c r="V14" s="10">
        <f ca="1" xml:space="preserve"> Inventory!V$18</f>
        <v>0</v>
      </c>
      <c r="W14" s="10">
        <f ca="1" xml:space="preserve"> Inventory!W$18</f>
        <v>0</v>
      </c>
      <c r="X14" s="10">
        <f ca="1" xml:space="preserve"> Inventory!X$18</f>
        <v>0</v>
      </c>
      <c r="Y14" s="10">
        <f ca="1" xml:space="preserve"> Inventory!Y$18</f>
        <v>0</v>
      </c>
      <c r="Z14" s="10">
        <f ca="1" xml:space="preserve"> Inventory!Z$18</f>
        <v>0</v>
      </c>
      <c r="AA14" s="10">
        <f ca="1" xml:space="preserve"> Inventory!AA$18</f>
        <v>0</v>
      </c>
      <c r="AB14" s="10">
        <f ca="1" xml:space="preserve"> Inventory!AB$18</f>
        <v>0</v>
      </c>
      <c r="AC14" s="10">
        <f ca="1" xml:space="preserve"> Inventory!AC$18</f>
        <v>0</v>
      </c>
      <c r="AD14" s="10">
        <f ca="1" xml:space="preserve"> Inventory!AD$18</f>
        <v>0</v>
      </c>
      <c r="AE14" s="10">
        <f ca="1" xml:space="preserve"> Inventory!AE$18</f>
        <v>0</v>
      </c>
      <c r="AF14" s="10">
        <f ca="1" xml:space="preserve"> Inventory!AF$18</f>
        <v>0</v>
      </c>
      <c r="AG14" s="10">
        <f ca="1" xml:space="preserve"> Inventory!AG$18</f>
        <v>0</v>
      </c>
      <c r="AH14" s="10">
        <f ca="1" xml:space="preserve"> Inventory!AH$18</f>
        <v>1000</v>
      </c>
      <c r="AI14" s="10">
        <f ca="1" xml:space="preserve"> Inventory!AI$18</f>
        <v>1000</v>
      </c>
      <c r="AJ14" s="10">
        <f ca="1" xml:space="preserve"> Inventory!AJ$18</f>
        <v>1000</v>
      </c>
      <c r="AK14" s="10">
        <f ca="1" xml:space="preserve"> Inventory!AK$18</f>
        <v>1000</v>
      </c>
      <c r="AL14" s="10">
        <f ca="1" xml:space="preserve"> Inventory!AL$18</f>
        <v>3000</v>
      </c>
      <c r="AM14" s="10">
        <f ca="1" xml:space="preserve"> Inventory!AM$18</f>
        <v>3000</v>
      </c>
      <c r="AN14" s="10">
        <f ca="1" xml:space="preserve"> Inventory!AN$18</f>
        <v>3000</v>
      </c>
      <c r="AO14" s="10">
        <f ca="1" xml:space="preserve"> Inventory!AO$18</f>
        <v>5000</v>
      </c>
      <c r="AP14" s="10">
        <f ca="1" xml:space="preserve"> Inventory!AP$18</f>
        <v>5000</v>
      </c>
      <c r="AQ14" s="10">
        <f ca="1" xml:space="preserve"> Inventory!AQ$18</f>
        <v>5000</v>
      </c>
      <c r="AR14" s="10">
        <f ca="1" xml:space="preserve"> Inventory!AR$18</f>
        <v>5000</v>
      </c>
      <c r="AS14" s="10">
        <f ca="1" xml:space="preserve"> Inventory!AS$18</f>
        <v>5000</v>
      </c>
      <c r="AT14" s="10">
        <f ca="1" xml:space="preserve"> Inventory!AT$18</f>
        <v>5297.3154717964762</v>
      </c>
      <c r="AU14" s="10">
        <f ca="1" xml:space="preserve"> Inventory!AU$18</f>
        <v>5612.3102415468647</v>
      </c>
      <c r="AV14" s="10">
        <f ca="1" xml:space="preserve"> Inventory!AV$18</f>
        <v>5946.035575013605</v>
      </c>
      <c r="AW14" s="10">
        <f ca="1" xml:space="preserve"> Inventory!AW$18</f>
        <v>6299.6052494743653</v>
      </c>
      <c r="AX14" s="10">
        <f ca="1" xml:space="preserve"> Inventory!AX$18</f>
        <v>6674.1992708501712</v>
      </c>
      <c r="AY14" s="10">
        <f ca="1" xml:space="preserve"> Inventory!AY$18</f>
        <v>7071.0678118654751</v>
      </c>
      <c r="AZ14" s="10">
        <f ca="1" xml:space="preserve"> Inventory!AZ$18</f>
        <v>7491.5353843834073</v>
      </c>
      <c r="BA14" s="10">
        <f ca="1" xml:space="preserve"> Inventory!BA$18</f>
        <v>7937.0052598409975</v>
      </c>
      <c r="BB14" s="10">
        <f ca="1" xml:space="preserve"> Inventory!BB$18</f>
        <v>8408.9641525371462</v>
      </c>
      <c r="BC14" s="10">
        <f ca="1" xml:space="preserve"> Inventory!BC$18</f>
        <v>8908.9871814033941</v>
      </c>
      <c r="BD14" s="10">
        <f ca="1" xml:space="preserve"> Inventory!BD$18</f>
        <v>9438.7431268169366</v>
      </c>
      <c r="BE14" s="10">
        <f ca="1" xml:space="preserve"> Inventory!BE$18</f>
        <v>10000.000000000002</v>
      </c>
      <c r="BF14" s="10">
        <f ca="1" xml:space="preserve"> Inventory!BF$18</f>
        <v>11494.630943592954</v>
      </c>
      <c r="BG14" s="10">
        <f ca="1" xml:space="preserve"> Inventory!BG$18</f>
        <v>12124.620483093731</v>
      </c>
      <c r="BH14" s="10">
        <f ca="1" xml:space="preserve"> Inventory!BH$18</f>
        <v>12792.071150027214</v>
      </c>
      <c r="BI14" s="10">
        <f ca="1" xml:space="preserve"> Inventory!BI$18</f>
        <v>13499.210498948736</v>
      </c>
      <c r="BJ14" s="10">
        <f ca="1" xml:space="preserve"> Inventory!BJ$18</f>
        <v>16048.39854170035</v>
      </c>
      <c r="BK14" s="10">
        <f ca="1" xml:space="preserve"> Inventory!BK$18</f>
        <v>16842.135623730959</v>
      </c>
      <c r="BL14" s="10">
        <f ca="1" xml:space="preserve"> Inventory!BL$18</f>
        <v>17683.070768766825</v>
      </c>
      <c r="BM14" s="10">
        <f ca="1" xml:space="preserve"> Inventory!BM$18</f>
        <v>20374.010519682004</v>
      </c>
      <c r="BN14" s="10">
        <f ca="1" xml:space="preserve"> Inventory!BN$18</f>
        <v>21317.9283050743</v>
      </c>
      <c r="BO14" s="10">
        <f ca="1" xml:space="preserve"> Inventory!BO$18</f>
        <v>22317.974362806795</v>
      </c>
      <c r="BP14" s="10">
        <f ca="1" xml:space="preserve"> Inventory!BP$18</f>
        <v>23377.486253633881</v>
      </c>
      <c r="BQ14" s="10">
        <f ca="1" xml:space="preserve"> Inventory!BQ$18</f>
        <v>24500.000000000011</v>
      </c>
    </row>
    <row r="15" spans="1:69">
      <c r="E15" s="17" t="str">
        <f xml:space="preserve"> Inventory!E$65</f>
        <v>Units in stock</v>
      </c>
      <c r="F15" s="17">
        <f xml:space="preserve"> Inventory!F$65</f>
        <v>0</v>
      </c>
      <c r="G15" s="17" t="str">
        <f xml:space="preserve"> Inventory!G$65</f>
        <v>Units</v>
      </c>
      <c r="H15" s="44">
        <f xml:space="preserve"> Inventory!H$65</f>
        <v>0</v>
      </c>
      <c r="I15" s="17">
        <f xml:space="preserve"> Inventory!I$65</f>
        <v>0</v>
      </c>
      <c r="J15" s="10">
        <f ca="1">Inventory!J$65</f>
        <v>0</v>
      </c>
      <c r="K15" s="10">
        <f ca="1">Inventory!K$65</f>
        <v>5000</v>
      </c>
      <c r="L15" s="10">
        <f ca="1">Inventory!L$65</f>
        <v>3000</v>
      </c>
      <c r="M15" s="10">
        <f ca="1">Inventory!M$65</f>
        <v>2000</v>
      </c>
      <c r="N15" s="10">
        <f ca="1">Inventory!N$65</f>
        <v>1000</v>
      </c>
      <c r="O15" s="10">
        <f ca="1">Inventory!O$65</f>
        <v>10000</v>
      </c>
      <c r="P15" s="10">
        <f ca="1">Inventory!P$65</f>
        <v>5000</v>
      </c>
      <c r="Q15" s="10">
        <f ca="1">Inventory!Q$65</f>
        <v>2000</v>
      </c>
      <c r="R15" s="10">
        <f ca="1">Inventory!R$65</f>
        <v>0</v>
      </c>
      <c r="S15" s="10">
        <f ca="1">Inventory!S$65</f>
        <v>10000</v>
      </c>
      <c r="T15" s="10">
        <f ca="1">Inventory!T$65</f>
        <v>0</v>
      </c>
      <c r="U15" s="10">
        <f ca="1">Inventory!U$65</f>
        <v>10000</v>
      </c>
      <c r="V15" s="10">
        <f ca="1">Inventory!V$65</f>
        <v>10000</v>
      </c>
      <c r="W15" s="10">
        <f ca="1">Inventory!W$65</f>
        <v>1702.6845282035247</v>
      </c>
      <c r="X15" s="10">
        <f ca="1">Inventory!X$65</f>
        <v>10000</v>
      </c>
      <c r="Y15" s="10">
        <f ca="1">Inventory!Y$65</f>
        <v>144.33871164305674</v>
      </c>
      <c r="Z15" s="10">
        <f ca="1">Inventory!Z$65</f>
        <v>0</v>
      </c>
      <c r="AA15" s="10">
        <f ca="1">Inventory!AA$65</f>
        <v>0</v>
      </c>
      <c r="AB15" s="10">
        <f ca="1">Inventory!AB$65</f>
        <v>0</v>
      </c>
      <c r="AC15" s="10">
        <f ca="1">Inventory!AC$65</f>
        <v>0</v>
      </c>
      <c r="AD15" s="10">
        <f ca="1">Inventory!AD$65</f>
        <v>5000</v>
      </c>
      <c r="AE15" s="10">
        <f ca="1">Inventory!AE$65</f>
        <v>5000</v>
      </c>
      <c r="AF15" s="10">
        <f ca="1">Inventory!AF$65</f>
        <v>5000</v>
      </c>
      <c r="AG15" s="10">
        <f ca="1">Inventory!AG$65</f>
        <v>10000</v>
      </c>
      <c r="AH15" s="10">
        <f ca="1">Inventory!AH$65</f>
        <v>5000</v>
      </c>
      <c r="AI15" s="10">
        <f ca="1">Inventory!AI$65</f>
        <v>10000</v>
      </c>
      <c r="AJ15" s="10">
        <f ca="1">Inventory!AJ$65</f>
        <v>5000</v>
      </c>
      <c r="AK15" s="10">
        <f ca="1">Inventory!AK$65</f>
        <v>10000</v>
      </c>
      <c r="AL15" s="10">
        <f ca="1">Inventory!AL$65</f>
        <v>10000</v>
      </c>
      <c r="AM15" s="10">
        <f ca="1">Inventory!AM$65</f>
        <v>10000</v>
      </c>
      <c r="AN15" s="10">
        <f ca="1">Inventory!AN$65</f>
        <v>10000</v>
      </c>
      <c r="AO15" s="10">
        <f ca="1">Inventory!AO$65</f>
        <v>15000</v>
      </c>
      <c r="AP15" s="10">
        <f ca="1">Inventory!AP$65</f>
        <v>10000</v>
      </c>
      <c r="AQ15" s="10">
        <f ca="1">Inventory!AQ$65</f>
        <v>15000</v>
      </c>
      <c r="AR15" s="10">
        <f ca="1">Inventory!AR$65</f>
        <v>15000</v>
      </c>
      <c r="AS15" s="10">
        <f ca="1">Inventory!AS$65</f>
        <v>20000</v>
      </c>
      <c r="AT15" s="10">
        <f ca="1">Inventory!AT$65</f>
        <v>15000</v>
      </c>
      <c r="AU15" s="10">
        <f ca="1">Inventory!AU$65</f>
        <v>20000</v>
      </c>
      <c r="AV15" s="10">
        <f ca="1">Inventory!AV$65</f>
        <v>25000</v>
      </c>
      <c r="AW15" s="10">
        <f ca="1">Inventory!AW$65</f>
        <v>20000</v>
      </c>
      <c r="AX15" s="10">
        <f ca="1">Inventory!AX$65</f>
        <v>25000</v>
      </c>
      <c r="AY15" s="10">
        <f ca="1">Inventory!AY$65</f>
        <v>25000</v>
      </c>
      <c r="AZ15" s="10">
        <f ca="1">Inventory!AZ$65</f>
        <v>25000</v>
      </c>
      <c r="BA15" s="10">
        <f ca="1">Inventory!BA$65</f>
        <v>25000</v>
      </c>
      <c r="BB15" s="10">
        <f ca="1">Inventory!BB$65</f>
        <v>30000</v>
      </c>
      <c r="BC15" s="10">
        <f ca="1">Inventory!BC$65</f>
        <v>30000.000000000004</v>
      </c>
      <c r="BD15" s="10">
        <f ca="1">Inventory!BD$65</f>
        <v>35000</v>
      </c>
      <c r="BE15" s="10">
        <f ca="1">Inventory!BE$65</f>
        <v>35000</v>
      </c>
      <c r="BF15" s="10">
        <f ca="1">Inventory!BF$65</f>
        <v>35000</v>
      </c>
      <c r="BG15" s="10">
        <f ca="1">Inventory!BG$65</f>
        <v>40000</v>
      </c>
      <c r="BH15" s="10">
        <f ca="1">Inventory!BH$65</f>
        <v>40000</v>
      </c>
      <c r="BI15" s="10">
        <f ca="1">Inventory!BI$65</f>
        <v>45000</v>
      </c>
      <c r="BJ15" s="10">
        <f ca="1">Inventory!BJ$65</f>
        <v>45000</v>
      </c>
      <c r="BK15" s="10">
        <f ca="1">Inventory!BK$65</f>
        <v>49999.999999999993</v>
      </c>
      <c r="BL15" s="10">
        <f ca="1">Inventory!BL$65</f>
        <v>50000.000000000007</v>
      </c>
      <c r="BM15" s="10">
        <f ca="1">Inventory!BM$65</f>
        <v>54999.999999999985</v>
      </c>
      <c r="BN15" s="10">
        <f ca="1">Inventory!BN$65</f>
        <v>60000</v>
      </c>
      <c r="BO15" s="10">
        <f ca="1">Inventory!BO$65</f>
        <v>60000</v>
      </c>
      <c r="BP15" s="10">
        <f ca="1">Inventory!BP$65</f>
        <v>65000</v>
      </c>
      <c r="BQ15" s="10">
        <f ca="1">Inventory!BQ$65</f>
        <v>70000</v>
      </c>
    </row>
    <row r="16" spans="1:69">
      <c r="E16" s="17" t="str">
        <f xml:space="preserve"> Inventory!E$54</f>
        <v>Units deployed</v>
      </c>
      <c r="F16" s="17">
        <f xml:space="preserve"> Inventory!F$54</f>
        <v>0</v>
      </c>
      <c r="G16" s="17" t="str">
        <f xml:space="preserve"> Inventory!G$54</f>
        <v>Units</v>
      </c>
      <c r="H16" s="44">
        <f ca="1" xml:space="preserve"> Inventory!H$54</f>
        <v>1070000</v>
      </c>
      <c r="I16" s="17">
        <f xml:space="preserve"> Inventory!I$54</f>
        <v>0</v>
      </c>
      <c r="J16" s="10">
        <f xml:space="preserve"> Inventory!J$54</f>
        <v>0</v>
      </c>
      <c r="K16" s="10">
        <f ca="1" xml:space="preserve"> Inventory!K$54</f>
        <v>0</v>
      </c>
      <c r="L16" s="10">
        <f ca="1" xml:space="preserve"> Inventory!L$54</f>
        <v>2000</v>
      </c>
      <c r="M16" s="10">
        <f ca="1" xml:space="preserve"> Inventory!M$54</f>
        <v>1000</v>
      </c>
      <c r="N16" s="10">
        <f ca="1" xml:space="preserve"> Inventory!N$54</f>
        <v>1000</v>
      </c>
      <c r="O16" s="10">
        <f ca="1" xml:space="preserve"> Inventory!O$54</f>
        <v>1000</v>
      </c>
      <c r="P16" s="10">
        <f ca="1" xml:space="preserve"> Inventory!P$54</f>
        <v>5000</v>
      </c>
      <c r="Q16" s="10">
        <f ca="1" xml:space="preserve"> Inventory!Q$54</f>
        <v>3000</v>
      </c>
      <c r="R16" s="10">
        <f ca="1" xml:space="preserve"> Inventory!R$54</f>
        <v>2000</v>
      </c>
      <c r="S16" s="10">
        <f ca="1" xml:space="preserve"> Inventory!S$54</f>
        <v>0</v>
      </c>
      <c r="T16" s="10">
        <f ca="1" xml:space="preserve"> Inventory!T$54</f>
        <v>10000</v>
      </c>
      <c r="U16" s="10">
        <f ca="1" xml:space="preserve"> Inventory!U$54</f>
        <v>0</v>
      </c>
      <c r="V16" s="10">
        <f ca="1" xml:space="preserve"> Inventory!V$54</f>
        <v>10000</v>
      </c>
      <c r="W16" s="10">
        <f ca="1" xml:space="preserve"> Inventory!W$54</f>
        <v>8297.3154717964753</v>
      </c>
      <c r="X16" s="10">
        <f ca="1" xml:space="preserve"> Inventory!X$54</f>
        <v>1702.6845282035247</v>
      </c>
      <c r="Y16" s="10">
        <f ca="1" xml:space="preserve"> Inventory!Y$54</f>
        <v>9855.6612883569433</v>
      </c>
      <c r="Z16" s="10">
        <f ca="1" xml:space="preserve"> Inventory!Z$54</f>
        <v>144.33871164305674</v>
      </c>
      <c r="AA16" s="10">
        <f ca="1" xml:space="preserve"> Inventory!AA$54</f>
        <v>0</v>
      </c>
      <c r="AB16" s="10">
        <f ca="1" xml:space="preserve"> Inventory!AB$54</f>
        <v>0</v>
      </c>
      <c r="AC16" s="10">
        <f ca="1" xml:space="preserve"> Inventory!AC$54</f>
        <v>0</v>
      </c>
      <c r="AD16" s="10">
        <f ca="1" xml:space="preserve"> Inventory!AD$54</f>
        <v>0</v>
      </c>
      <c r="AE16" s="10">
        <f ca="1" xml:space="preserve"> Inventory!AE$54</f>
        <v>5000</v>
      </c>
      <c r="AF16" s="10">
        <f ca="1" xml:space="preserve"> Inventory!AF$54</f>
        <v>5000</v>
      </c>
      <c r="AG16" s="10">
        <f ca="1" xml:space="preserve"> Inventory!AG$54</f>
        <v>5000</v>
      </c>
      <c r="AH16" s="10">
        <f ca="1" xml:space="preserve"> Inventory!AH$54</f>
        <v>10000</v>
      </c>
      <c r="AI16" s="10">
        <f ca="1" xml:space="preserve"> Inventory!AI$54</f>
        <v>5000</v>
      </c>
      <c r="AJ16" s="10">
        <f ca="1" xml:space="preserve"> Inventory!AJ$54</f>
        <v>10000</v>
      </c>
      <c r="AK16" s="10">
        <f ca="1" xml:space="preserve"> Inventory!AK$54</f>
        <v>5000</v>
      </c>
      <c r="AL16" s="10">
        <f ca="1" xml:space="preserve"> Inventory!AL$54</f>
        <v>10000</v>
      </c>
      <c r="AM16" s="10">
        <f ca="1" xml:space="preserve"> Inventory!AM$54</f>
        <v>10000</v>
      </c>
      <c r="AN16" s="10">
        <f ca="1" xml:space="preserve"> Inventory!AN$54</f>
        <v>10000</v>
      </c>
      <c r="AO16" s="10">
        <f ca="1" xml:space="preserve"> Inventory!AO$54</f>
        <v>10000</v>
      </c>
      <c r="AP16" s="10">
        <f ca="1" xml:space="preserve"> Inventory!AP$54</f>
        <v>15000</v>
      </c>
      <c r="AQ16" s="10">
        <f ca="1" xml:space="preserve"> Inventory!AQ$54</f>
        <v>10000</v>
      </c>
      <c r="AR16" s="10">
        <f ca="1" xml:space="preserve"> Inventory!AR$54</f>
        <v>15000</v>
      </c>
      <c r="AS16" s="10">
        <f ca="1" xml:space="preserve"> Inventory!AS$54</f>
        <v>15000</v>
      </c>
      <c r="AT16" s="10">
        <f ca="1" xml:space="preserve"> Inventory!AT$54</f>
        <v>20000</v>
      </c>
      <c r="AU16" s="10">
        <f ca="1" xml:space="preserve"> Inventory!AU$54</f>
        <v>15000</v>
      </c>
      <c r="AV16" s="10">
        <f ca="1" xml:space="preserve"> Inventory!AV$54</f>
        <v>20000</v>
      </c>
      <c r="AW16" s="10">
        <f ca="1" xml:space="preserve"> Inventory!AW$54</f>
        <v>25000</v>
      </c>
      <c r="AX16" s="10">
        <f ca="1" xml:space="preserve"> Inventory!AX$54</f>
        <v>20000</v>
      </c>
      <c r="AY16" s="10">
        <f ca="1" xml:space="preserve"> Inventory!AY$54</f>
        <v>25000</v>
      </c>
      <c r="AZ16" s="10">
        <f ca="1" xml:space="preserve"> Inventory!AZ$54</f>
        <v>25000</v>
      </c>
      <c r="BA16" s="10">
        <f ca="1" xml:space="preserve"> Inventory!BA$54</f>
        <v>25000</v>
      </c>
      <c r="BB16" s="10">
        <f ca="1" xml:space="preserve"> Inventory!BB$54</f>
        <v>25000</v>
      </c>
      <c r="BC16" s="10">
        <f ca="1" xml:space="preserve"> Inventory!BC$54</f>
        <v>30000</v>
      </c>
      <c r="BD16" s="10">
        <f ca="1" xml:space="preserve"> Inventory!BD$54</f>
        <v>30000.000000000004</v>
      </c>
      <c r="BE16" s="10">
        <f ca="1" xml:space="preserve"> Inventory!BE$54</f>
        <v>35000</v>
      </c>
      <c r="BF16" s="10">
        <f ca="1" xml:space="preserve"> Inventory!BF$54</f>
        <v>35000</v>
      </c>
      <c r="BG16" s="10">
        <f ca="1" xml:space="preserve"> Inventory!BG$54</f>
        <v>35000</v>
      </c>
      <c r="BH16" s="10">
        <f ca="1" xml:space="preserve"> Inventory!BH$54</f>
        <v>40000</v>
      </c>
      <c r="BI16" s="10">
        <f ca="1" xml:space="preserve"> Inventory!BI$54</f>
        <v>40000</v>
      </c>
      <c r="BJ16" s="10">
        <f ca="1" xml:space="preserve"> Inventory!BJ$54</f>
        <v>45000</v>
      </c>
      <c r="BK16" s="10">
        <f ca="1" xml:space="preserve"> Inventory!BK$54</f>
        <v>45000</v>
      </c>
      <c r="BL16" s="10">
        <f ca="1" xml:space="preserve"> Inventory!BL$54</f>
        <v>49999.999999999993</v>
      </c>
      <c r="BM16" s="10">
        <f ca="1" xml:space="preserve"> Inventory!BM$54</f>
        <v>50000.000000000007</v>
      </c>
      <c r="BN16" s="10">
        <f ca="1" xml:space="preserve"> Inventory!BN$54</f>
        <v>54999.999999999985</v>
      </c>
      <c r="BO16" s="10">
        <f ca="1" xml:space="preserve"> Inventory!BO$54</f>
        <v>60000</v>
      </c>
      <c r="BP16" s="10">
        <f ca="1" xml:space="preserve"> Inventory!BP$54</f>
        <v>60000</v>
      </c>
      <c r="BQ16" s="10">
        <f ca="1" xml:space="preserve"> Inventory!BQ$54</f>
        <v>65000</v>
      </c>
    </row>
    <row r="17" spans="5:69">
      <c r="E17" s="17" t="str">
        <f xml:space="preserve"> Inventory!E$73</f>
        <v>Units in use</v>
      </c>
      <c r="F17" s="17">
        <f xml:space="preserve"> Inventory!F$73</f>
        <v>0</v>
      </c>
      <c r="G17" s="17" t="str">
        <f xml:space="preserve"> Inventory!G$73</f>
        <v>Units</v>
      </c>
      <c r="H17" s="44">
        <f xml:space="preserve"> Inventory!H$73</f>
        <v>0</v>
      </c>
      <c r="I17" s="17">
        <f xml:space="preserve"> Inventory!I$73</f>
        <v>0</v>
      </c>
      <c r="J17" s="10">
        <f ca="1">Inventory!J$73</f>
        <v>0</v>
      </c>
      <c r="K17" s="10">
        <f ca="1">Inventory!K$73</f>
        <v>0</v>
      </c>
      <c r="L17" s="10">
        <f ca="1">Inventory!L$73</f>
        <v>2000</v>
      </c>
      <c r="M17" s="10">
        <f ca="1">Inventory!M$73</f>
        <v>3000</v>
      </c>
      <c r="N17" s="10">
        <f ca="1">Inventory!N$73</f>
        <v>4000</v>
      </c>
      <c r="O17" s="10">
        <f ca="1">Inventory!O$73</f>
        <v>5000</v>
      </c>
      <c r="P17" s="10">
        <f ca="1">Inventory!P$73</f>
        <v>10000</v>
      </c>
      <c r="Q17" s="10">
        <f ca="1">Inventory!Q$73</f>
        <v>13000</v>
      </c>
      <c r="R17" s="10">
        <f ca="1">Inventory!R$73</f>
        <v>15000</v>
      </c>
      <c r="S17" s="10">
        <f ca="1">Inventory!S$73</f>
        <v>15000</v>
      </c>
      <c r="T17" s="10">
        <f ca="1">Inventory!T$73</f>
        <v>25000</v>
      </c>
      <c r="U17" s="10">
        <f ca="1">Inventory!U$73</f>
        <v>25000</v>
      </c>
      <c r="V17" s="10">
        <f ca="1">Inventory!V$73</f>
        <v>35000</v>
      </c>
      <c r="W17" s="10">
        <f ca="1">Inventory!W$73</f>
        <v>43297.315471796479</v>
      </c>
      <c r="X17" s="10">
        <f ca="1">Inventory!X$73</f>
        <v>45000</v>
      </c>
      <c r="Y17" s="10">
        <f ca="1">Inventory!Y$73</f>
        <v>54855.661288356947</v>
      </c>
      <c r="Z17" s="10">
        <f ca="1">Inventory!Z$73</f>
        <v>55000</v>
      </c>
      <c r="AA17" s="10">
        <f ca="1">Inventory!AA$73</f>
        <v>55000</v>
      </c>
      <c r="AB17" s="10">
        <f ca="1">Inventory!AB$73</f>
        <v>55000</v>
      </c>
      <c r="AC17" s="10">
        <f ca="1">Inventory!AC$73</f>
        <v>55000</v>
      </c>
      <c r="AD17" s="10">
        <f ca="1">Inventory!AD$73</f>
        <v>55000</v>
      </c>
      <c r="AE17" s="10">
        <f ca="1">Inventory!AE$73</f>
        <v>60000</v>
      </c>
      <c r="AF17" s="10">
        <f ca="1">Inventory!AF$73</f>
        <v>65000</v>
      </c>
      <c r="AG17" s="10">
        <f ca="1">Inventory!AG$73</f>
        <v>70000</v>
      </c>
      <c r="AH17" s="10">
        <f ca="1">Inventory!AH$73</f>
        <v>79000</v>
      </c>
      <c r="AI17" s="10">
        <f ca="1">Inventory!AI$73</f>
        <v>83000</v>
      </c>
      <c r="AJ17" s="10">
        <f ca="1">Inventory!AJ$73</f>
        <v>92000</v>
      </c>
      <c r="AK17" s="10">
        <f ca="1">Inventory!AK$73</f>
        <v>96000</v>
      </c>
      <c r="AL17" s="10">
        <f ca="1">Inventory!AL$73</f>
        <v>103000</v>
      </c>
      <c r="AM17" s="10">
        <f ca="1">Inventory!AM$73</f>
        <v>110000</v>
      </c>
      <c r="AN17" s="10">
        <f ca="1">Inventory!AN$73</f>
        <v>117000</v>
      </c>
      <c r="AO17" s="10">
        <f ca="1">Inventory!AO$73</f>
        <v>122000</v>
      </c>
      <c r="AP17" s="10">
        <f ca="1">Inventory!AP$73</f>
        <v>132000</v>
      </c>
      <c r="AQ17" s="10">
        <f ca="1">Inventory!AQ$73</f>
        <v>137000</v>
      </c>
      <c r="AR17" s="10">
        <f ca="1">Inventory!AR$73</f>
        <v>147000</v>
      </c>
      <c r="AS17" s="10">
        <f ca="1">Inventory!AS$73</f>
        <v>157000</v>
      </c>
      <c r="AT17" s="10">
        <f ca="1">Inventory!AT$73</f>
        <v>171702.68452820354</v>
      </c>
      <c r="AU17" s="10">
        <f ca="1">Inventory!AU$73</f>
        <v>181090.37428665668</v>
      </c>
      <c r="AV17" s="10">
        <f ca="1">Inventory!AV$73</f>
        <v>195144.33871164307</v>
      </c>
      <c r="AW17" s="10">
        <f ca="1">Inventory!AW$73</f>
        <v>213844.73346216869</v>
      </c>
      <c r="AX17" s="10">
        <f ca="1">Inventory!AX$73</f>
        <v>227170.53419131853</v>
      </c>
      <c r="AY17" s="10">
        <f ca="1">Inventory!AY$73</f>
        <v>245099.46637945305</v>
      </c>
      <c r="AZ17" s="10">
        <f ca="1">Inventory!AZ$73</f>
        <v>262607.93099506968</v>
      </c>
      <c r="BA17" s="10">
        <f ca="1">Inventory!BA$73</f>
        <v>279670.92573522869</v>
      </c>
      <c r="BB17" s="10">
        <f ca="1">Inventory!BB$73</f>
        <v>296261.96158269153</v>
      </c>
      <c r="BC17" s="10">
        <f ca="1">Inventory!BC$73</f>
        <v>317352.97440128814</v>
      </c>
      <c r="BD17" s="10">
        <f ca="1">Inventory!BD$73</f>
        <v>337914.23127447121</v>
      </c>
      <c r="BE17" s="10">
        <f ca="1">Inventory!BE$73</f>
        <v>362914.23127447121</v>
      </c>
      <c r="BF17" s="10">
        <f ca="1">Inventory!BF$73</f>
        <v>386419.60033087828</v>
      </c>
      <c r="BG17" s="10">
        <f ca="1">Inventory!BG$73</f>
        <v>409294.97984778456</v>
      </c>
      <c r="BH17" s="10">
        <f ca="1">Inventory!BH$73</f>
        <v>436502.90869775735</v>
      </c>
      <c r="BI17" s="10">
        <f ca="1">Inventory!BI$73</f>
        <v>463003.69819880859</v>
      </c>
      <c r="BJ17" s="10">
        <f ca="1">Inventory!BJ$73</f>
        <v>491955.29965710826</v>
      </c>
      <c r="BK17" s="10">
        <f ca="1">Inventory!BK$73</f>
        <v>520113.16403337731</v>
      </c>
      <c r="BL17" s="10">
        <f ca="1">Inventory!BL$73</f>
        <v>552430.09326461051</v>
      </c>
      <c r="BM17" s="10">
        <f ca="1">Inventory!BM$73</f>
        <v>582056.08274492854</v>
      </c>
      <c r="BN17" s="10">
        <f ca="1">Inventory!BN$73</f>
        <v>615738.1544398542</v>
      </c>
      <c r="BO17" s="10">
        <f ca="1">Inventory!BO$73</f>
        <v>653420.18007704744</v>
      </c>
      <c r="BP17" s="10">
        <f ca="1">Inventory!BP$73</f>
        <v>690042.69382341357</v>
      </c>
      <c r="BQ17" s="10">
        <f ca="1">Inventory!BQ$73</f>
        <v>730542.69382341357</v>
      </c>
    </row>
    <row r="18" spans="5:6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Inventory!J$77</f>
        <v>0</v>
      </c>
      <c r="K18" s="10">
        <f ca="1" xml:space="preserve"> Inventory!K$77</f>
        <v>0</v>
      </c>
      <c r="L18" s="10">
        <f ca="1" xml:space="preserve"> Inventory!L$77</f>
        <v>0</v>
      </c>
      <c r="M18" s="10">
        <f ca="1" xml:space="preserve"> Inventory!M$77</f>
        <v>0</v>
      </c>
      <c r="N18" s="10">
        <f ca="1" xml:space="preserve"> Inventory!N$77</f>
        <v>0</v>
      </c>
      <c r="O18" s="10">
        <f ca="1" xml:space="preserve"> Inventory!O$77</f>
        <v>0</v>
      </c>
      <c r="P18" s="10">
        <f ca="1" xml:space="preserve"> Inventory!P$77</f>
        <v>0</v>
      </c>
      <c r="Q18" s="10">
        <f ca="1" xml:space="preserve"> Inventory!Q$77</f>
        <v>0</v>
      </c>
      <c r="R18" s="10">
        <f ca="1" xml:space="preserve"> Inventory!R$77</f>
        <v>0</v>
      </c>
      <c r="S18" s="10">
        <f ca="1" xml:space="preserve"> Inventory!S$77</f>
        <v>0</v>
      </c>
      <c r="T18" s="10">
        <f ca="1" xml:space="preserve"> Inventory!T$77</f>
        <v>0</v>
      </c>
      <c r="U18" s="10">
        <f ca="1" xml:space="preserve"> Inventory!U$77</f>
        <v>0</v>
      </c>
      <c r="V18" s="10">
        <f ca="1" xml:space="preserve"> Inventory!V$77</f>
        <v>0</v>
      </c>
      <c r="W18" s="10">
        <f ca="1" xml:space="preserve"> Inventory!W$77</f>
        <v>0</v>
      </c>
      <c r="X18" s="10">
        <f ca="1" xml:space="preserve"> Inventory!X$77</f>
        <v>0</v>
      </c>
      <c r="Y18" s="10">
        <f ca="1" xml:space="preserve"> Inventory!Y$77</f>
        <v>0</v>
      </c>
      <c r="Z18" s="10">
        <f ca="1" xml:space="preserve"> Inventory!Z$77</f>
        <v>0</v>
      </c>
      <c r="AA18" s="10">
        <f ca="1" xml:space="preserve"> Inventory!AA$77</f>
        <v>0</v>
      </c>
      <c r="AB18" s="10">
        <f ca="1" xml:space="preserve"> Inventory!AB$77</f>
        <v>0</v>
      </c>
      <c r="AC18" s="10">
        <f ca="1" xml:space="preserve"> Inventory!AC$77</f>
        <v>0</v>
      </c>
      <c r="AD18" s="10">
        <f ca="1" xml:space="preserve"> Inventory!AD$77</f>
        <v>0</v>
      </c>
      <c r="AE18" s="10">
        <f ca="1" xml:space="preserve"> Inventory!AE$77</f>
        <v>0</v>
      </c>
      <c r="AF18" s="10">
        <f ca="1" xml:space="preserve"> Inventory!AF$77</f>
        <v>0</v>
      </c>
      <c r="AG18" s="10">
        <f ca="1" xml:space="preserve"> Inventory!AG$77</f>
        <v>0</v>
      </c>
      <c r="AH18" s="10">
        <f ca="1" xml:space="preserve"> Inventory!AH$77</f>
        <v>1000</v>
      </c>
      <c r="AI18" s="10">
        <f ca="1" xml:space="preserve"> Inventory!AI$77</f>
        <v>1000</v>
      </c>
      <c r="AJ18" s="10">
        <f ca="1" xml:space="preserve"> Inventory!AJ$77</f>
        <v>1000</v>
      </c>
      <c r="AK18" s="10">
        <f ca="1" xml:space="preserve"> Inventory!AK$77</f>
        <v>1000</v>
      </c>
      <c r="AL18" s="10">
        <f ca="1" xml:space="preserve"> Inventory!AL$77</f>
        <v>3000</v>
      </c>
      <c r="AM18" s="10">
        <f ca="1" xml:space="preserve"> Inventory!AM$77</f>
        <v>3000</v>
      </c>
      <c r="AN18" s="10">
        <f ca="1" xml:space="preserve"> Inventory!AN$77</f>
        <v>3000</v>
      </c>
      <c r="AO18" s="10">
        <f ca="1" xml:space="preserve"> Inventory!AO$77</f>
        <v>5000</v>
      </c>
      <c r="AP18" s="10">
        <f ca="1" xml:space="preserve"> Inventory!AP$77</f>
        <v>5000</v>
      </c>
      <c r="AQ18" s="10">
        <f ca="1" xml:space="preserve"> Inventory!AQ$77</f>
        <v>5000</v>
      </c>
      <c r="AR18" s="10">
        <f ca="1" xml:space="preserve"> Inventory!AR$77</f>
        <v>5000</v>
      </c>
      <c r="AS18" s="10">
        <f ca="1" xml:space="preserve"> Inventory!AS$77</f>
        <v>5000</v>
      </c>
      <c r="AT18" s="10">
        <f ca="1" xml:space="preserve"> Inventory!AT$77</f>
        <v>5297.3154717964762</v>
      </c>
      <c r="AU18" s="10">
        <f ca="1" xml:space="preserve"> Inventory!AU$77</f>
        <v>5612.3102415468647</v>
      </c>
      <c r="AV18" s="10">
        <f ca="1" xml:space="preserve"> Inventory!AV$77</f>
        <v>5946.035575013605</v>
      </c>
      <c r="AW18" s="10">
        <f ca="1" xml:space="preserve"> Inventory!AW$77</f>
        <v>6299.6052494743653</v>
      </c>
      <c r="AX18" s="10">
        <f ca="1" xml:space="preserve"> Inventory!AX$77</f>
        <v>6674.1992708501712</v>
      </c>
      <c r="AY18" s="10">
        <f ca="1" xml:space="preserve"> Inventory!AY$77</f>
        <v>7071.0678118654751</v>
      </c>
      <c r="AZ18" s="10">
        <f ca="1" xml:space="preserve"> Inventory!AZ$77</f>
        <v>7491.5353843834073</v>
      </c>
      <c r="BA18" s="10">
        <f ca="1" xml:space="preserve"> Inventory!BA$77</f>
        <v>7937.0052598409975</v>
      </c>
      <c r="BB18" s="10">
        <f ca="1" xml:space="preserve"> Inventory!BB$77</f>
        <v>8408.9641525371462</v>
      </c>
      <c r="BC18" s="10">
        <f ca="1" xml:space="preserve"> Inventory!BC$77</f>
        <v>8908.9871814033941</v>
      </c>
      <c r="BD18" s="10">
        <f ca="1" xml:space="preserve"> Inventory!BD$77</f>
        <v>9438.7431268169366</v>
      </c>
      <c r="BE18" s="10">
        <f ca="1" xml:space="preserve"> Inventory!BE$77</f>
        <v>10000.000000000002</v>
      </c>
      <c r="BF18" s="10">
        <f ca="1" xml:space="preserve"> Inventory!BF$77</f>
        <v>11494.630943592954</v>
      </c>
      <c r="BG18" s="10">
        <f ca="1" xml:space="preserve"> Inventory!BG$77</f>
        <v>12124.620483093731</v>
      </c>
      <c r="BH18" s="10">
        <f ca="1" xml:space="preserve"> Inventory!BH$77</f>
        <v>12792.071150027214</v>
      </c>
      <c r="BI18" s="10">
        <f ca="1" xml:space="preserve"> Inventory!BI$77</f>
        <v>13499.210498948736</v>
      </c>
      <c r="BJ18" s="10">
        <f ca="1" xml:space="preserve"> Inventory!BJ$77</f>
        <v>16048.39854170035</v>
      </c>
      <c r="BK18" s="10">
        <f ca="1" xml:space="preserve"> Inventory!BK$77</f>
        <v>16842.135623730959</v>
      </c>
      <c r="BL18" s="10">
        <f ca="1" xml:space="preserve"> Inventory!BL$77</f>
        <v>17683.070768766825</v>
      </c>
      <c r="BM18" s="10">
        <f ca="1" xml:space="preserve"> Inventory!BM$77</f>
        <v>20374.010519682004</v>
      </c>
      <c r="BN18" s="10">
        <f ca="1" xml:space="preserve"> Inventory!BN$77</f>
        <v>21317.9283050743</v>
      </c>
      <c r="BO18" s="10">
        <f ca="1" xml:space="preserve"> Inventory!BO$77</f>
        <v>22317.974362806795</v>
      </c>
      <c r="BP18" s="10">
        <f ca="1" xml:space="preserve"> Inventory!BP$77</f>
        <v>23377.486253633881</v>
      </c>
      <c r="BQ18" s="10">
        <f ca="1" xml:space="preserve"> Inventory!BQ$77</f>
        <v>24500.000000000011</v>
      </c>
    </row>
    <row r="19" spans="5:6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Inventory!J$85</f>
        <v>0</v>
      </c>
      <c r="K19" s="10">
        <f ca="1">Inventory!K$85</f>
        <v>0</v>
      </c>
      <c r="L19" s="10">
        <f ca="1">Inventory!L$85</f>
        <v>0</v>
      </c>
      <c r="M19" s="10">
        <f ca="1">Inventory!M$85</f>
        <v>0</v>
      </c>
      <c r="N19" s="10">
        <f ca="1">Inventory!N$85</f>
        <v>0</v>
      </c>
      <c r="O19" s="10">
        <f ca="1">Inventory!O$85</f>
        <v>0</v>
      </c>
      <c r="P19" s="10">
        <f ca="1">Inventory!P$85</f>
        <v>0</v>
      </c>
      <c r="Q19" s="10">
        <f ca="1">Inventory!Q$85</f>
        <v>0</v>
      </c>
      <c r="R19" s="10">
        <f ca="1">Inventory!R$85</f>
        <v>0</v>
      </c>
      <c r="S19" s="10">
        <f ca="1">Inventory!S$85</f>
        <v>0</v>
      </c>
      <c r="T19" s="10">
        <f ca="1">Inventory!T$85</f>
        <v>0</v>
      </c>
      <c r="U19" s="10">
        <f ca="1">Inventory!U$85</f>
        <v>0</v>
      </c>
      <c r="V19" s="10">
        <f ca="1">Inventory!V$85</f>
        <v>0</v>
      </c>
      <c r="W19" s="10">
        <f ca="1">Inventory!W$85</f>
        <v>0</v>
      </c>
      <c r="X19" s="10">
        <f ca="1">Inventory!X$85</f>
        <v>0</v>
      </c>
      <c r="Y19" s="10">
        <f ca="1">Inventory!Y$85</f>
        <v>0</v>
      </c>
      <c r="Z19" s="10">
        <f ca="1">Inventory!Z$85</f>
        <v>0</v>
      </c>
      <c r="AA19" s="10">
        <f ca="1">Inventory!AA$85</f>
        <v>0</v>
      </c>
      <c r="AB19" s="10">
        <f ca="1">Inventory!AB$85</f>
        <v>0</v>
      </c>
      <c r="AC19" s="10">
        <f ca="1">Inventory!AC$85</f>
        <v>0</v>
      </c>
      <c r="AD19" s="10">
        <f ca="1">Inventory!AD$85</f>
        <v>0</v>
      </c>
      <c r="AE19" s="10">
        <f ca="1">Inventory!AE$85</f>
        <v>0</v>
      </c>
      <c r="AF19" s="10">
        <f ca="1">Inventory!AF$85</f>
        <v>0</v>
      </c>
      <c r="AG19" s="10">
        <f ca="1">Inventory!AG$85</f>
        <v>0</v>
      </c>
      <c r="AH19" s="10">
        <f ca="1">Inventory!AH$85</f>
        <v>1000</v>
      </c>
      <c r="AI19" s="10">
        <f ca="1">Inventory!AI$85</f>
        <v>2000</v>
      </c>
      <c r="AJ19" s="10">
        <f ca="1">Inventory!AJ$85</f>
        <v>3000</v>
      </c>
      <c r="AK19" s="10">
        <f ca="1">Inventory!AK$85</f>
        <v>4000</v>
      </c>
      <c r="AL19" s="10">
        <f ca="1">Inventory!AL$85</f>
        <v>7000</v>
      </c>
      <c r="AM19" s="10">
        <f ca="1">Inventory!AM$85</f>
        <v>10000</v>
      </c>
      <c r="AN19" s="10">
        <f ca="1">Inventory!AN$85</f>
        <v>13000</v>
      </c>
      <c r="AO19" s="10">
        <f ca="1">Inventory!AO$85</f>
        <v>18000</v>
      </c>
      <c r="AP19" s="10">
        <f ca="1">Inventory!AP$85</f>
        <v>23000</v>
      </c>
      <c r="AQ19" s="10">
        <f ca="1">Inventory!AQ$85</f>
        <v>28000</v>
      </c>
      <c r="AR19" s="10">
        <f ca="1">Inventory!AR$85</f>
        <v>33000</v>
      </c>
      <c r="AS19" s="10">
        <f ca="1">Inventory!AS$85</f>
        <v>38000</v>
      </c>
      <c r="AT19" s="10">
        <f ca="1">Inventory!AT$85</f>
        <v>43297.315471796479</v>
      </c>
      <c r="AU19" s="10">
        <f ca="1">Inventory!AU$85</f>
        <v>48909.625713343346</v>
      </c>
      <c r="AV19" s="10">
        <f ca="1">Inventory!AV$85</f>
        <v>54855.661288356954</v>
      </c>
      <c r="AW19" s="10">
        <f ca="1">Inventory!AW$85</f>
        <v>61155.266537831318</v>
      </c>
      <c r="AX19" s="10">
        <f ca="1">Inventory!AX$85</f>
        <v>67829.465808681489</v>
      </c>
      <c r="AY19" s="10">
        <f ca="1">Inventory!AY$85</f>
        <v>74900.533620546965</v>
      </c>
      <c r="AZ19" s="10">
        <f ca="1">Inventory!AZ$85</f>
        <v>82392.069004930367</v>
      </c>
      <c r="BA19" s="10">
        <f ca="1">Inventory!BA$85</f>
        <v>90329.074264771363</v>
      </c>
      <c r="BB19" s="10">
        <f ca="1">Inventory!BB$85</f>
        <v>98738.038417308504</v>
      </c>
      <c r="BC19" s="10">
        <f ca="1">Inventory!BC$85</f>
        <v>107647.0255987119</v>
      </c>
      <c r="BD19" s="10">
        <f ca="1">Inventory!BD$85</f>
        <v>117085.76872552883</v>
      </c>
      <c r="BE19" s="10">
        <f ca="1">Inventory!BE$85</f>
        <v>127085.76872552883</v>
      </c>
      <c r="BF19" s="10">
        <f ca="1">Inventory!BF$85</f>
        <v>138580.39966912178</v>
      </c>
      <c r="BG19" s="10">
        <f ca="1">Inventory!BG$85</f>
        <v>150705.0201522155</v>
      </c>
      <c r="BH19" s="10">
        <f ca="1">Inventory!BH$85</f>
        <v>163497.09130224271</v>
      </c>
      <c r="BI19" s="10">
        <f ca="1">Inventory!BI$85</f>
        <v>176996.30180119144</v>
      </c>
      <c r="BJ19" s="10">
        <f ca="1">Inventory!BJ$85</f>
        <v>193044.7003428918</v>
      </c>
      <c r="BK19" s="10">
        <f ca="1">Inventory!BK$85</f>
        <v>209886.83596662275</v>
      </c>
      <c r="BL19" s="10">
        <f ca="1">Inventory!BL$85</f>
        <v>227569.90673538958</v>
      </c>
      <c r="BM19" s="10">
        <f ca="1">Inventory!BM$85</f>
        <v>247943.91725507157</v>
      </c>
      <c r="BN19" s="10">
        <f ca="1">Inventory!BN$85</f>
        <v>269261.84556014586</v>
      </c>
      <c r="BO19" s="10">
        <f ca="1">Inventory!BO$85</f>
        <v>291579.81992295268</v>
      </c>
      <c r="BP19" s="10">
        <f ca="1">Inventory!BP$85</f>
        <v>314957.30617658654</v>
      </c>
      <c r="BQ19" s="10">
        <f ca="1">Inventory!BQ$85</f>
        <v>339457.30617658654</v>
      </c>
    </row>
  </sheetData>
  <conditionalFormatting sqref="F2:F3">
    <cfRule type="cellIs" dxfId="49" priority="1" stopIfTrue="1" operator="notEqual">
      <formula>0</formula>
    </cfRule>
    <cfRule type="cellIs" dxfId="48" priority="2" stopIfTrue="1" operator="equal">
      <formula>""</formula>
    </cfRule>
  </conditionalFormatting>
  <conditionalFormatting sqref="J3:BQ3">
    <cfRule type="cellIs" dxfId="47" priority="3" operator="equal">
      <formula>"PPA ext."</formula>
    </cfRule>
    <cfRule type="cellIs" dxfId="46" priority="4" operator="equal">
      <formula>"Delay"</formula>
    </cfRule>
    <cfRule type="cellIs" dxfId="45" priority="5" operator="equal">
      <formula>"Fin Close"</formula>
    </cfRule>
    <cfRule type="cellIs" dxfId="44" priority="6" stopIfTrue="1" operator="equal">
      <formula>"Construction"</formula>
    </cfRule>
    <cfRule type="cellIs" dxfId="4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tabColor rgb="FF4F81BD"/>
    <outlinePr summaryBelow="0" summaryRight="0"/>
  </sheetPr>
  <dimension ref="A1:AC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2" customFormat="1" ht="25">
      <c r="A1" s="46" t="str">
        <f ca="1" xml:space="preserve"> RIGHT(CELL("filename", A1), LEN(CELL("filename", A1)) - SEARCH("]", CELL("filename", A1)))</f>
        <v>Inventory Report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Time!$J332:$BQ332, Time!J$28, Customers!$J14:$BQ14)</f>
        <v>3000</v>
      </c>
      <c r="K8" s="10">
        <f xml:space="preserve"> SUMIF( Time!$J332:$BQ332, Time!K$28, Customers!$J14:$BQ14)</f>
        <v>7000</v>
      </c>
      <c r="L8" s="10">
        <f xml:space="preserve"> SUMIF( Time!$J332:$BQ332, Time!L$28, Customers!$J14:$BQ14)</f>
        <v>13000</v>
      </c>
      <c r="M8" s="10">
        <f xml:space="preserve"> SUMIF( Time!$J332:$BQ332, Time!M$28, Customers!$J14:$BQ14)</f>
        <v>15000</v>
      </c>
      <c r="N8" s="10">
        <f xml:space="preserve"> SUMIF( Time!$J332:$BQ332, Time!N$28, Customers!$J14:$BQ14)</f>
        <v>16855.661288356947</v>
      </c>
      <c r="O8" s="10">
        <f xml:space="preserve"> SUMIF( Time!$J332:$BQ332, Time!O$28, Customers!$J14:$BQ14)</f>
        <v>20044.872332190011</v>
      </c>
      <c r="P8" s="10">
        <f xml:space="preserve"> SUMIF( Time!$J332:$BQ332, Time!P$28, Customers!$J14:$BQ14)</f>
        <v>23837.504796761554</v>
      </c>
      <c r="Q8" s="10">
        <f xml:space="preserve"> SUMIF( Time!$J332:$BQ332, Time!Q$28, Customers!$J14:$BQ14)</f>
        <v>28347.730308220329</v>
      </c>
      <c r="R8" s="10">
        <f xml:space="preserve"> SUMIF( Time!$J332:$BQ332, Time!R$28, Customers!$J14:$BQ14)</f>
        <v>33711.322576713901</v>
      </c>
      <c r="S8" s="10">
        <f xml:space="preserve"> SUMIF( Time!$J332:$BQ332, Time!S$28, Customers!$J14:$BQ14)</f>
        <v>40089.744664380043</v>
      </c>
      <c r="T8" s="10">
        <f xml:space="preserve"> SUMIF( Time!$J332:$BQ332, Time!T$28, Customers!$J14:$BQ14)</f>
        <v>47675.009593523122</v>
      </c>
      <c r="U8" s="10">
        <f xml:space="preserve"> SUMIF( Time!$J332:$BQ332, Time!U$28, Customers!$J14:$BQ14)</f>
        <v>56695.460616440687</v>
      </c>
      <c r="V8" s="10">
        <f xml:space="preserve"> SUMIF( Time!$J332:$BQ332, Time!V$28, Customers!$J14:$BQ14)</f>
        <v>67422.645153427846</v>
      </c>
      <c r="W8" s="10">
        <f xml:space="preserve"> SUMIF( Time!$J332:$BQ332, Time!W$28, Customers!$J14:$BQ14)</f>
        <v>80179.48932876013</v>
      </c>
      <c r="X8" s="10">
        <f xml:space="preserve"> SUMIF( Time!$J332:$BQ332, Time!X$28, Customers!$J14:$BQ14)</f>
        <v>95350.019187046302</v>
      </c>
      <c r="Y8" s="10">
        <f xml:space="preserve"> SUMIF( Time!$J332:$BQ332, Time!Y$28, Customers!$J14:$BQ14)</f>
        <v>113390.92123288146</v>
      </c>
      <c r="Z8" s="10">
        <f xml:space="preserve"> SUMIF( Time!$J332:$BQ332, Time!Z$28, Customers!$J14:$BQ14)</f>
        <v>134845.29030685578</v>
      </c>
      <c r="AA8" s="10">
        <f xml:space="preserve"> SUMIF( Time!$J332:$BQ332, Time!AA$28, Customers!$J14:$BQ14)</f>
        <v>160358.97865752035</v>
      </c>
      <c r="AB8" s="10">
        <f xml:space="preserve"> SUMIF( Time!$J332:$BQ332, Time!AB$28, Customers!$J14:$BQ14)</f>
        <v>190700.03837409272</v>
      </c>
      <c r="AC8" s="10">
        <f xml:space="preserve"> SUMIF( Time!$J332:$BQ332, Time!AC$28, Customers!$J14:$BQ14)</f>
        <v>226781.84246576301</v>
      </c>
    </row>
    <row r="9" spans="1:2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Time!$J332:$BQ332, Time!J$28, Customers!$J35:$BQ35)</f>
        <v>0</v>
      </c>
      <c r="K9" s="10">
        <f ca="1" xml:space="preserve"> SUMIF( Time!$J332:$BQ332, Time!K$28, Customers!$J35:$BQ35)</f>
        <v>0</v>
      </c>
      <c r="L9" s="10">
        <f ca="1" xml:space="preserve"> SUMIF( Time!$J332:$BQ332, Time!L$28, Customers!$J35:$BQ35)</f>
        <v>0</v>
      </c>
      <c r="M9" s="10">
        <f ca="1" xml:space="preserve"> SUMIF( Time!$J332:$BQ332, Time!M$28, Customers!$J35:$BQ35)</f>
        <v>0</v>
      </c>
      <c r="N9" s="10">
        <f ca="1" xml:space="preserve"> SUMIF( Time!$J332:$BQ332, Time!N$28, Customers!$J35:$BQ35)</f>
        <v>0</v>
      </c>
      <c r="O9" s="10">
        <f ca="1" xml:space="preserve"> SUMIF( Time!$J332:$BQ332, Time!O$28, Customers!$J35:$BQ35)</f>
        <v>0</v>
      </c>
      <c r="P9" s="10">
        <f ca="1" xml:space="preserve"> SUMIF( Time!$J332:$BQ332, Time!P$28, Customers!$J35:$BQ35)</f>
        <v>0</v>
      </c>
      <c r="Q9" s="10">
        <f ca="1" xml:space="preserve"> SUMIF( Time!$J332:$BQ332, Time!Q$28, Customers!$J35:$BQ35)</f>
        <v>0</v>
      </c>
      <c r="R9" s="10">
        <f ca="1" xml:space="preserve"> SUMIF( Time!$J332:$BQ332, Time!R$28, Customers!$J35:$BQ35)</f>
        <v>2700</v>
      </c>
      <c r="S9" s="10">
        <f ca="1" xml:space="preserve"> SUMIF( Time!$J332:$BQ332, Time!S$28, Customers!$J35:$BQ35)</f>
        <v>6300</v>
      </c>
      <c r="T9" s="10">
        <f ca="1" xml:space="preserve"> SUMIF( Time!$J332:$BQ332, Time!T$28, Customers!$J35:$BQ35)</f>
        <v>11700</v>
      </c>
      <c r="U9" s="10">
        <f ca="1" xml:space="preserve"> SUMIF( Time!$J332:$BQ332, Time!U$28, Customers!$J35:$BQ35)</f>
        <v>13500</v>
      </c>
      <c r="V9" s="10">
        <f ca="1" xml:space="preserve"> SUMIF( Time!$J332:$BQ332, Time!V$28, Customers!$J35:$BQ35)</f>
        <v>15170.095159521252</v>
      </c>
      <c r="W9" s="10">
        <f ca="1" xml:space="preserve"> SUMIF( Time!$J332:$BQ332, Time!W$28, Customers!$J35:$BQ35)</f>
        <v>18040.385098971012</v>
      </c>
      <c r="X9" s="10">
        <f ca="1" xml:space="preserve"> SUMIF( Time!$J332:$BQ332, Time!X$28, Customers!$J35:$BQ35)</f>
        <v>21453.754317085397</v>
      </c>
      <c r="Y9" s="10">
        <f ca="1" xml:space="preserve"> SUMIF( Time!$J332:$BQ332, Time!Y$28, Customers!$J35:$BQ35)</f>
        <v>25512.957277398302</v>
      </c>
      <c r="Z9" s="10">
        <f ca="1" xml:space="preserve"> SUMIF( Time!$J332:$BQ332, Time!Z$28, Customers!$J35:$BQ35)</f>
        <v>30340.190319042511</v>
      </c>
      <c r="AA9" s="10">
        <f ca="1" xml:space="preserve"> SUMIF( Time!$J332:$BQ332, Time!AA$28, Customers!$J35:$BQ35)</f>
        <v>36080.770197942038</v>
      </c>
      <c r="AB9" s="10">
        <f ca="1" xml:space="preserve"> SUMIF( Time!$J332:$BQ332, Time!AB$28, Customers!$J35:$BQ35)</f>
        <v>42907.508634170816</v>
      </c>
      <c r="AC9" s="10">
        <f ca="1" xml:space="preserve"> SUMIF( Time!$J332:$BQ332, Time!AC$28, Customers!$J35:$BQ35)</f>
        <v>51025.914554796618</v>
      </c>
    </row>
    <row r="10" spans="1:2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Time!$J337:$BQ337, Time!J$28, Customers!$J24:$BQ24)</f>
        <v>1000</v>
      </c>
      <c r="K10" s="10">
        <f ca="1" xml:space="preserve"> SUMIF( Time!$J337:$BQ337, Time!K$28, Customers!$J24:$BQ24)</f>
        <v>5000</v>
      </c>
      <c r="L10" s="10">
        <f ca="1" xml:space="preserve"> SUMIF( Time!$J337:$BQ337, Time!L$28, Customers!$J24:$BQ24)</f>
        <v>8000</v>
      </c>
      <c r="M10" s="10">
        <f ca="1" xml:space="preserve"> SUMIF( Time!$J337:$BQ337, Time!M$28, Customers!$J24:$BQ24)</f>
        <v>13000</v>
      </c>
      <c r="N10" s="10">
        <f ca="1" xml:space="preserve"> SUMIF( Time!$J337:$BQ337, Time!N$28, Customers!$J24:$BQ24)</f>
        <v>9855.6612883569433</v>
      </c>
      <c r="O10" s="10">
        <f ca="1" xml:space="preserve"> SUMIF( Time!$J337:$BQ337, Time!O$28, Customers!$J24:$BQ24)</f>
        <v>19900.533620546954</v>
      </c>
      <c r="P10" s="10">
        <f ca="1" xml:space="preserve"> SUMIF( Time!$J337:$BQ337, Time!P$28, Customers!$J24:$BQ24)</f>
        <v>43738.038417308504</v>
      </c>
      <c r="Q10" s="10">
        <f ca="1" xml:space="preserve"> SUMIF( Time!$J337:$BQ337, Time!Q$28, Customers!$J24:$BQ24)</f>
        <v>57085.76872552884</v>
      </c>
      <c r="R10" s="10">
        <f ca="1" xml:space="preserve"> SUMIF( Time!$J337:$BQ337, Time!R$28, Customers!$J24:$BQ24)</f>
        <v>68497.091302242741</v>
      </c>
      <c r="S10" s="10">
        <f ca="1" xml:space="preserve"> SUMIF( Time!$J337:$BQ337, Time!S$28, Customers!$J24:$BQ24)</f>
        <v>89886.835966622777</v>
      </c>
      <c r="T10" s="10">
        <f ca="1" xml:space="preserve"> SUMIF( Time!$J337:$BQ337, Time!T$28, Customers!$J24:$BQ24)</f>
        <v>114261.8455601459</v>
      </c>
      <c r="U10" s="10">
        <f ca="1" xml:space="preserve"> SUMIF( Time!$J337:$BQ337, Time!U$28, Customers!$J24:$BQ24)</f>
        <v>144457.30617658657</v>
      </c>
      <c r="V10" s="10">
        <f ca="1" xml:space="preserve"> SUMIF( Time!$J337:$BQ337, Time!V$28, Customers!$J24:$BQ24)</f>
        <v>172050.04648953563</v>
      </c>
      <c r="W10" s="10">
        <f ca="1" xml:space="preserve"> SUMIF( Time!$J337:$BQ337, Time!W$28, Customers!$J24:$BQ24)</f>
        <v>200269.92091726678</v>
      </c>
      <c r="X10" s="10">
        <f ca="1" xml:space="preserve"> SUMIF( Time!$J337:$BQ337, Time!X$28, Customers!$J24:$BQ24)</f>
        <v>242073.69442139845</v>
      </c>
      <c r="Y10" s="10">
        <f ca="1" xml:space="preserve"> SUMIF( Time!$J337:$BQ337, Time!Y$28, Customers!$J24:$BQ24)</f>
        <v>285977.57293167821</v>
      </c>
      <c r="Z10" s="10">
        <f ca="1" xml:space="preserve"> SUMIF( Time!$J337:$BQ337, Time!Z$28, Customers!$J24:$BQ24)</f>
        <v>341163.0535575765</v>
      </c>
      <c r="AA10" s="10">
        <f ca="1" xml:space="preserve"> SUMIF( Time!$J337:$BQ337, Time!AA$28, Customers!$J24:$BQ24)</f>
        <v>407602.80241303897</v>
      </c>
      <c r="AB10" s="10">
        <f ca="1" xml:space="preserve"> SUMIF( Time!$J337:$BQ337, Time!AB$28, Customers!$J24:$BQ24)</f>
        <v>486210.34942130244</v>
      </c>
      <c r="AC10" s="10">
        <f ca="1" xml:space="preserve"> SUMIF( Time!$J337:$BQ337, Time!AC$28, Customers!$J24:$BQ24)</f>
        <v>579018.10644186207</v>
      </c>
    </row>
    <row r="11" spans="1:29">
      <c r="E11" s="17" t="str">
        <f xml:space="preserve"> Inventory!E$33</f>
        <v>Units ordered</v>
      </c>
      <c r="F11" s="17">
        <f xml:space="preserve"> Inventory!F$33</f>
        <v>0</v>
      </c>
      <c r="G11" s="17" t="str">
        <f xml:space="preserve"> Inventory!G$33</f>
        <v>Units</v>
      </c>
      <c r="H11" s="44">
        <f ca="1" xml:space="preserve"> Inventory!H$33</f>
        <v>1650000</v>
      </c>
      <c r="I11" s="17">
        <f xml:space="preserve"> Inventory!I$33</f>
        <v>0</v>
      </c>
      <c r="J11" s="10">
        <f xml:space="preserve"> SUMIF( Time!$J332:$BQ332, Time!J$28, Inventory!$J33:$BQ33)</f>
        <v>10000</v>
      </c>
      <c r="K11" s="10">
        <f xml:space="preserve"> SUMIF( Time!$J332:$BQ332, Time!K$28, Inventory!$J33:$BQ33)</f>
        <v>20000</v>
      </c>
      <c r="L11" s="10">
        <f xml:space="preserve"> SUMIF( Time!$J332:$BQ332, Time!L$28, Inventory!$J33:$BQ33)</f>
        <v>20000</v>
      </c>
      <c r="M11" s="10">
        <f xml:space="preserve"> SUMIF( Time!$J332:$BQ332, Time!M$28, Inventory!$J33:$BQ33)</f>
        <v>0</v>
      </c>
      <c r="N11" s="10">
        <f ca="1" xml:space="preserve"> SUMIF( Time!$J332:$BQ332, Time!N$28, Inventory!$J33:$BQ33)</f>
        <v>5000</v>
      </c>
      <c r="O11" s="10">
        <f ca="1" xml:space="preserve"> SUMIF( Time!$J332:$BQ332, Time!O$28, Inventory!$J33:$BQ33)</f>
        <v>20000</v>
      </c>
      <c r="P11" s="10">
        <f ca="1" xml:space="preserve"> SUMIF( Time!$J332:$BQ332, Time!P$28, Inventory!$J33:$BQ33)</f>
        <v>20000</v>
      </c>
      <c r="Q11" s="10">
        <f ca="1" xml:space="preserve"> SUMIF( Time!$J332:$BQ332, Time!Q$28, Inventory!$J33:$BQ33)</f>
        <v>30000</v>
      </c>
      <c r="R11" s="10">
        <f ca="1" xml:space="preserve"> SUMIF( Time!$J332:$BQ332, Time!R$28, Inventory!$J33:$BQ33)</f>
        <v>35000</v>
      </c>
      <c r="S11" s="10">
        <f ca="1" xml:space="preserve"> SUMIF( Time!$J332:$BQ332, Time!S$28, Inventory!$J33:$BQ33)</f>
        <v>50000</v>
      </c>
      <c r="T11" s="10">
        <f ca="1" xml:space="preserve"> SUMIF( Time!$J332:$BQ332, Time!T$28, Inventory!$J33:$BQ33)</f>
        <v>60000</v>
      </c>
      <c r="U11" s="10">
        <f ca="1" xml:space="preserve"> SUMIF( Time!$J332:$BQ332, Time!U$28, Inventory!$J33:$BQ33)</f>
        <v>70000</v>
      </c>
      <c r="V11" s="10">
        <f ca="1" xml:space="preserve"> SUMIF( Time!$J332:$BQ332, Time!V$28, Inventory!$J33:$BQ33)</f>
        <v>80000</v>
      </c>
      <c r="W11" s="10">
        <f ca="1" xml:space="preserve"> SUMIF( Time!$J332:$BQ332, Time!W$28, Inventory!$J33:$BQ33)</f>
        <v>100000</v>
      </c>
      <c r="X11" s="10">
        <f ca="1" xml:space="preserve"> SUMIF( Time!$J332:$BQ332, Time!X$28, Inventory!$J33:$BQ33)</f>
        <v>115000</v>
      </c>
      <c r="Y11" s="10">
        <f ca="1" xml:space="preserve"> SUMIF( Time!$J332:$BQ332, Time!Y$28, Inventory!$J33:$BQ33)</f>
        <v>140000</v>
      </c>
      <c r="Z11" s="10">
        <f ca="1" xml:space="preserve"> SUMIF( Time!$J332:$BQ332, Time!Z$28, Inventory!$J33:$BQ33)</f>
        <v>165000</v>
      </c>
      <c r="AA11" s="10">
        <f ca="1" xml:space="preserve"> SUMIF( Time!$J332:$BQ332, Time!AA$28, Inventory!$J33:$BQ33)</f>
        <v>195000</v>
      </c>
      <c r="AB11" s="10">
        <f ca="1" xml:space="preserve"> SUMIF( Time!$J332:$BQ332, Time!AB$28, Inventory!$J33:$BQ33)</f>
        <v>235000</v>
      </c>
      <c r="AC11" s="10">
        <f ca="1" xml:space="preserve"> SUMIF( Time!$J332:$BQ332, Time!AC$28, Inventory!$J33:$BQ33)</f>
        <v>280000</v>
      </c>
    </row>
    <row r="12" spans="1:29">
      <c r="E12" s="17" t="str">
        <f xml:space="preserve"> Inventory!E$50</f>
        <v>Units on order</v>
      </c>
      <c r="F12" s="17">
        <f xml:space="preserve"> Inventory!F$50</f>
        <v>0</v>
      </c>
      <c r="G12" s="17" t="str">
        <f xml:space="preserve"> Inventory!G$50</f>
        <v>Units</v>
      </c>
      <c r="H12" s="44">
        <f xml:space="preserve"> Inventory!H$50</f>
        <v>0</v>
      </c>
      <c r="I12" s="17">
        <f xml:space="preserve"> Inventory!I$50</f>
        <v>0</v>
      </c>
      <c r="J12" s="10">
        <f ca="1" xml:space="preserve"> SUMIF( Time!$J337:$BQ337, Time!J$28, Inventory!$J50:$BQ50)</f>
        <v>5000</v>
      </c>
      <c r="K12" s="10">
        <f ca="1" xml:space="preserve"> SUMIF( Time!$J337:$BQ337, Time!K$28, Inventory!$J50:$BQ50)</f>
        <v>15000</v>
      </c>
      <c r="L12" s="10">
        <f ca="1" xml:space="preserve"> SUMIF( Time!$J337:$BQ337, Time!L$28, Inventory!$J50:$BQ50)</f>
        <v>35000</v>
      </c>
      <c r="M12" s="10">
        <f ca="1" xml:space="preserve"> SUMIF( Time!$J337:$BQ337, Time!M$28, Inventory!$J50:$BQ50)</f>
        <v>15000</v>
      </c>
      <c r="N12" s="10">
        <f ca="1" xml:space="preserve"> SUMIF( Time!$J337:$BQ337, Time!N$28, Inventory!$J50:$BQ50)</f>
        <v>0</v>
      </c>
      <c r="O12" s="10">
        <f ca="1" xml:space="preserve"> SUMIF( Time!$J337:$BQ337, Time!O$28, Inventory!$J50:$BQ50)</f>
        <v>20000</v>
      </c>
      <c r="P12" s="10">
        <f ca="1" xml:space="preserve"> SUMIF( Time!$J337:$BQ337, Time!P$28, Inventory!$J50:$BQ50)</f>
        <v>35000</v>
      </c>
      <c r="Q12" s="10">
        <f ca="1" xml:space="preserve"> SUMIF( Time!$J337:$BQ337, Time!Q$28, Inventory!$J50:$BQ50)</f>
        <v>45000</v>
      </c>
      <c r="R12" s="10">
        <f ca="1" xml:space="preserve"> SUMIF( Time!$J337:$BQ337, Time!R$28, Inventory!$J50:$BQ50)</f>
        <v>60000</v>
      </c>
      <c r="S12" s="10">
        <f ca="1" xml:space="preserve"> SUMIF( Time!$J337:$BQ337, Time!S$28, Inventory!$J50:$BQ50)</f>
        <v>80000</v>
      </c>
      <c r="T12" s="10">
        <f ca="1" xml:space="preserve"> SUMIF( Time!$J337:$BQ337, Time!T$28, Inventory!$J50:$BQ50)</f>
        <v>105000</v>
      </c>
      <c r="U12" s="10">
        <f ca="1" xml:space="preserve"> SUMIF( Time!$J337:$BQ337, Time!U$28, Inventory!$J50:$BQ50)</f>
        <v>125000</v>
      </c>
      <c r="V12" s="10">
        <f ca="1" xml:space="preserve"> SUMIF( Time!$J337:$BQ337, Time!V$28, Inventory!$J50:$BQ50)</f>
        <v>145000</v>
      </c>
      <c r="W12" s="10">
        <f ca="1" xml:space="preserve"> SUMIF( Time!$J337:$BQ337, Time!W$28, Inventory!$J50:$BQ50)</f>
        <v>175000</v>
      </c>
      <c r="X12" s="10">
        <f ca="1" xml:space="preserve"> SUMIF( Time!$J337:$BQ337, Time!X$28, Inventory!$J50:$BQ50)</f>
        <v>210000</v>
      </c>
      <c r="Y12" s="10">
        <f ca="1" xml:space="preserve"> SUMIF( Time!$J337:$BQ337, Time!Y$28, Inventory!$J50:$BQ50)</f>
        <v>250000</v>
      </c>
      <c r="Z12" s="10">
        <f ca="1" xml:space="preserve"> SUMIF( Time!$J337:$BQ337, Time!Z$28, Inventory!$J50:$BQ50)</f>
        <v>300000</v>
      </c>
      <c r="AA12" s="10">
        <f ca="1" xml:space="preserve"> SUMIF( Time!$J337:$BQ337, Time!AA$28, Inventory!$J50:$BQ50)</f>
        <v>355000</v>
      </c>
      <c r="AB12" s="10">
        <f ca="1" xml:space="preserve"> SUMIF( Time!$J337:$BQ337, Time!AB$28, Inventory!$J50:$BQ50)</f>
        <v>425000</v>
      </c>
      <c r="AC12" s="10">
        <f ca="1" xml:space="preserve"> SUMIF( Time!$J337:$BQ337, Time!AC$28, Inventory!$J50:$BQ50)</f>
        <v>510000</v>
      </c>
    </row>
    <row r="13" spans="1:29">
      <c r="E13" s="17" t="str">
        <f xml:space="preserve"> Inventory!E$41</f>
        <v>Units delivered</v>
      </c>
      <c r="F13" s="17">
        <f xml:space="preserve"> Inventory!F$41</f>
        <v>0</v>
      </c>
      <c r="G13" s="17" t="str">
        <f xml:space="preserve"> Inventory!G$41</f>
        <v>Units</v>
      </c>
      <c r="H13" s="44">
        <f ca="1" xml:space="preserve"> Inventory!H$41</f>
        <v>1140000</v>
      </c>
      <c r="I13" s="17">
        <f xml:space="preserve"> Inventory!I$41</f>
        <v>0</v>
      </c>
      <c r="J13" s="10">
        <f ca="1" xml:space="preserve"> SUMIF( Time!$J332:$BQ332, Time!J$28, Inventory!$J41:$BQ41)</f>
        <v>5000</v>
      </c>
      <c r="K13" s="10">
        <f ca="1" xml:space="preserve"> SUMIF( Time!$J332:$BQ332, Time!K$28, Inventory!$J41:$BQ41)</f>
        <v>10000</v>
      </c>
      <c r="L13" s="10">
        <f ca="1" xml:space="preserve"> SUMIF( Time!$J332:$BQ332, Time!L$28, Inventory!$J41:$BQ41)</f>
        <v>0</v>
      </c>
      <c r="M13" s="10">
        <f ca="1" xml:space="preserve"> SUMIF( Time!$J332:$BQ332, Time!M$28, Inventory!$J41:$BQ41)</f>
        <v>20000</v>
      </c>
      <c r="N13" s="10">
        <f ca="1" xml:space="preserve"> SUMIF( Time!$J332:$BQ332, Time!N$28, Inventory!$J41:$BQ41)</f>
        <v>20000</v>
      </c>
      <c r="O13" s="10">
        <f ca="1" xml:space="preserve"> SUMIF( Time!$J332:$BQ332, Time!O$28, Inventory!$J41:$BQ41)</f>
        <v>0</v>
      </c>
      <c r="P13" s="10">
        <f ca="1" xml:space="preserve"> SUMIF( Time!$J332:$BQ332, Time!P$28, Inventory!$J41:$BQ41)</f>
        <v>5000</v>
      </c>
      <c r="Q13" s="10">
        <f ca="1" xml:space="preserve"> SUMIF( Time!$J332:$BQ332, Time!Q$28, Inventory!$J41:$BQ41)</f>
        <v>20000</v>
      </c>
      <c r="R13" s="10">
        <f ca="1" xml:space="preserve"> SUMIF( Time!$J332:$BQ332, Time!R$28, Inventory!$J41:$BQ41)</f>
        <v>20000</v>
      </c>
      <c r="S13" s="10">
        <f ca="1" xml:space="preserve"> SUMIF( Time!$J332:$BQ332, Time!S$28, Inventory!$J41:$BQ41)</f>
        <v>30000</v>
      </c>
      <c r="T13" s="10">
        <f ca="1" xml:space="preserve"> SUMIF( Time!$J332:$BQ332, Time!T$28, Inventory!$J41:$BQ41)</f>
        <v>35000</v>
      </c>
      <c r="U13" s="10">
        <f ca="1" xml:space="preserve"> SUMIF( Time!$J332:$BQ332, Time!U$28, Inventory!$J41:$BQ41)</f>
        <v>50000</v>
      </c>
      <c r="V13" s="10">
        <f ca="1" xml:space="preserve"> SUMIF( Time!$J332:$BQ332, Time!V$28, Inventory!$J41:$BQ41)</f>
        <v>60000</v>
      </c>
      <c r="W13" s="10">
        <f ca="1" xml:space="preserve"> SUMIF( Time!$J332:$BQ332, Time!W$28, Inventory!$J41:$BQ41)</f>
        <v>70000</v>
      </c>
      <c r="X13" s="10">
        <f ca="1" xml:space="preserve"> SUMIF( Time!$J332:$BQ332, Time!X$28, Inventory!$J41:$BQ41)</f>
        <v>80000</v>
      </c>
      <c r="Y13" s="10">
        <f ca="1" xml:space="preserve"> SUMIF( Time!$J332:$BQ332, Time!Y$28, Inventory!$J41:$BQ41)</f>
        <v>100000</v>
      </c>
      <c r="Z13" s="10">
        <f ca="1" xml:space="preserve"> SUMIF( Time!$J332:$BQ332, Time!Z$28, Inventory!$J41:$BQ41)</f>
        <v>115000</v>
      </c>
      <c r="AA13" s="10">
        <f ca="1" xml:space="preserve"> SUMIF( Time!$J332:$BQ332, Time!AA$28, Inventory!$J41:$BQ41)</f>
        <v>140000</v>
      </c>
      <c r="AB13" s="10">
        <f ca="1" xml:space="preserve"> SUMIF( Time!$J332:$BQ332, Time!AB$28, Inventory!$J41:$BQ41)</f>
        <v>165000</v>
      </c>
      <c r="AC13" s="10">
        <f ca="1" xml:space="preserve"> SUMIF( Time!$J332:$BQ332, Time!AC$28, Inventory!$J41:$BQ41)</f>
        <v>195000</v>
      </c>
    </row>
    <row r="14" spans="1:2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Time!$J332:$BQ332, Time!J$28, Inventory!$J18:$BQ18)</f>
        <v>0</v>
      </c>
      <c r="K14" s="10">
        <f ca="1" xml:space="preserve"> SUMIF( Time!$J332:$BQ332, Time!K$28, Inventory!$J18:$BQ18)</f>
        <v>0</v>
      </c>
      <c r="L14" s="10">
        <f ca="1" xml:space="preserve"> SUMIF( Time!$J332:$BQ332, Time!L$28, Inventory!$J18:$BQ18)</f>
        <v>0</v>
      </c>
      <c r="M14" s="10">
        <f ca="1" xml:space="preserve"> SUMIF( Time!$J332:$BQ332, Time!M$28, Inventory!$J18:$BQ18)</f>
        <v>0</v>
      </c>
      <c r="N14" s="10">
        <f ca="1" xml:space="preserve"> SUMIF( Time!$J332:$BQ332, Time!N$28, Inventory!$J18:$BQ18)</f>
        <v>0</v>
      </c>
      <c r="O14" s="10">
        <f ca="1" xml:space="preserve"> SUMIF( Time!$J332:$BQ332, Time!O$28, Inventory!$J18:$BQ18)</f>
        <v>0</v>
      </c>
      <c r="P14" s="10">
        <f ca="1" xml:space="preserve"> SUMIF( Time!$J332:$BQ332, Time!P$28, Inventory!$J18:$BQ18)</f>
        <v>0</v>
      </c>
      <c r="Q14" s="10">
        <f ca="1" xml:space="preserve"> SUMIF( Time!$J332:$BQ332, Time!Q$28, Inventory!$J18:$BQ18)</f>
        <v>0</v>
      </c>
      <c r="R14" s="10">
        <f ca="1" xml:space="preserve"> SUMIF( Time!$J332:$BQ332, Time!R$28, Inventory!$J18:$BQ18)</f>
        <v>3000</v>
      </c>
      <c r="S14" s="10">
        <f ca="1" xml:space="preserve"> SUMIF( Time!$J332:$BQ332, Time!S$28, Inventory!$J18:$BQ18)</f>
        <v>7000</v>
      </c>
      <c r="T14" s="10">
        <f ca="1" xml:space="preserve"> SUMIF( Time!$J332:$BQ332, Time!T$28, Inventory!$J18:$BQ18)</f>
        <v>13000</v>
      </c>
      <c r="U14" s="10">
        <f ca="1" xml:space="preserve"> SUMIF( Time!$J332:$BQ332, Time!U$28, Inventory!$J18:$BQ18)</f>
        <v>15000</v>
      </c>
      <c r="V14" s="10">
        <f ca="1" xml:space="preserve"> SUMIF( Time!$J332:$BQ332, Time!V$28, Inventory!$J18:$BQ18)</f>
        <v>16855.661288356947</v>
      </c>
      <c r="W14" s="10">
        <f ca="1" xml:space="preserve"> SUMIF( Time!$J332:$BQ332, Time!W$28, Inventory!$J18:$BQ18)</f>
        <v>20044.872332190011</v>
      </c>
      <c r="X14" s="10">
        <f ca="1" xml:space="preserve"> SUMIF( Time!$J332:$BQ332, Time!X$28, Inventory!$J18:$BQ18)</f>
        <v>23837.504796761554</v>
      </c>
      <c r="Y14" s="10">
        <f ca="1" xml:space="preserve"> SUMIF( Time!$J332:$BQ332, Time!Y$28, Inventory!$J18:$BQ18)</f>
        <v>28347.730308220329</v>
      </c>
      <c r="Z14" s="10">
        <f ca="1" xml:space="preserve"> SUMIF( Time!$J332:$BQ332, Time!Z$28, Inventory!$J18:$BQ18)</f>
        <v>36411.322576713901</v>
      </c>
      <c r="AA14" s="10">
        <f ca="1" xml:space="preserve"> SUMIF( Time!$J332:$BQ332, Time!AA$28, Inventory!$J18:$BQ18)</f>
        <v>46389.744664380043</v>
      </c>
      <c r="AB14" s="10">
        <f ca="1" xml:space="preserve"> SUMIF( Time!$J332:$BQ332, Time!AB$28, Inventory!$J18:$BQ18)</f>
        <v>59375.009593523122</v>
      </c>
      <c r="AC14" s="10">
        <f ca="1" xml:space="preserve"> SUMIF( Time!$J332:$BQ332, Time!AC$28, Inventory!$J18:$BQ18)</f>
        <v>70195.460616440687</v>
      </c>
    </row>
    <row r="15" spans="1:29">
      <c r="E15" s="17" t="str">
        <f xml:space="preserve"> Inventory!E$65</f>
        <v>Units in stock</v>
      </c>
      <c r="F15" s="17">
        <f xml:space="preserve"> Inventory!F$65</f>
        <v>0</v>
      </c>
      <c r="G15" s="17" t="str">
        <f xml:space="preserve"> Inventory!G$65</f>
        <v>Units</v>
      </c>
      <c r="H15" s="44">
        <f xml:space="preserve"> Inventory!H$65</f>
        <v>0</v>
      </c>
      <c r="I15" s="17">
        <f xml:space="preserve"> Inventory!I$65</f>
        <v>0</v>
      </c>
      <c r="J15" s="10">
        <f ca="1" xml:space="preserve"> SUMIF( Time!$J337:$BQ337, Time!J$28, Inventory!$J65:$BQ65)</f>
        <v>3000</v>
      </c>
      <c r="K15" s="10">
        <f ca="1" xml:space="preserve"> SUMIF( Time!$J337:$BQ337, Time!K$28, Inventory!$J65:$BQ65)</f>
        <v>10000</v>
      </c>
      <c r="L15" s="10">
        <f ca="1" xml:space="preserve"> SUMIF( Time!$J337:$BQ337, Time!L$28, Inventory!$J65:$BQ65)</f>
        <v>0</v>
      </c>
      <c r="M15" s="10">
        <f ca="1" xml:space="preserve"> SUMIF( Time!$J337:$BQ337, Time!M$28, Inventory!$J65:$BQ65)</f>
        <v>10000</v>
      </c>
      <c r="N15" s="10">
        <f ca="1" xml:space="preserve"> SUMIF( Time!$J337:$BQ337, Time!N$28, Inventory!$J65:$BQ65)</f>
        <v>10000</v>
      </c>
      <c r="O15" s="10">
        <f ca="1" xml:space="preserve"> SUMIF( Time!$J337:$BQ337, Time!O$28, Inventory!$J65:$BQ65)</f>
        <v>0</v>
      </c>
      <c r="P15" s="10">
        <f ca="1" xml:space="preserve"> SUMIF( Time!$J337:$BQ337, Time!P$28, Inventory!$J65:$BQ65)</f>
        <v>5000</v>
      </c>
      <c r="Q15" s="10">
        <f ca="1" xml:space="preserve"> SUMIF( Time!$J337:$BQ337, Time!Q$28, Inventory!$J65:$BQ65)</f>
        <v>10000</v>
      </c>
      <c r="R15" s="10">
        <f ca="1" xml:space="preserve"> SUMIF( Time!$J337:$BQ337, Time!R$28, Inventory!$J65:$BQ65)</f>
        <v>5000</v>
      </c>
      <c r="S15" s="10">
        <f ca="1" xml:space="preserve"> SUMIF( Time!$J337:$BQ337, Time!S$28, Inventory!$J65:$BQ65)</f>
        <v>10000</v>
      </c>
      <c r="T15" s="10">
        <f ca="1" xml:space="preserve"> SUMIF( Time!$J337:$BQ337, Time!T$28, Inventory!$J65:$BQ65)</f>
        <v>10000</v>
      </c>
      <c r="U15" s="10">
        <f ca="1" xml:space="preserve"> SUMIF( Time!$J337:$BQ337, Time!U$28, Inventory!$J65:$BQ65)</f>
        <v>20000</v>
      </c>
      <c r="V15" s="10">
        <f ca="1" xml:space="preserve"> SUMIF( Time!$J337:$BQ337, Time!V$28, Inventory!$J65:$BQ65)</f>
        <v>25000</v>
      </c>
      <c r="W15" s="10">
        <f ca="1" xml:space="preserve"> SUMIF( Time!$J337:$BQ337, Time!W$28, Inventory!$J65:$BQ65)</f>
        <v>25000</v>
      </c>
      <c r="X15" s="10">
        <f ca="1" xml:space="preserve"> SUMIF( Time!$J337:$BQ337, Time!X$28, Inventory!$J65:$BQ65)</f>
        <v>30000</v>
      </c>
      <c r="Y15" s="10">
        <f ca="1" xml:space="preserve"> SUMIF( Time!$J337:$BQ337, Time!Y$28, Inventory!$J65:$BQ65)</f>
        <v>35000</v>
      </c>
      <c r="Z15" s="10">
        <f ca="1" xml:space="preserve"> SUMIF( Time!$J337:$BQ337, Time!Z$28, Inventory!$J65:$BQ65)</f>
        <v>40000</v>
      </c>
      <c r="AA15" s="10">
        <f ca="1" xml:space="preserve"> SUMIF( Time!$J337:$BQ337, Time!AA$28, Inventory!$J65:$BQ65)</f>
        <v>49999.999999999993</v>
      </c>
      <c r="AB15" s="10">
        <f ca="1" xml:space="preserve"> SUMIF( Time!$J337:$BQ337, Time!AB$28, Inventory!$J65:$BQ65)</f>
        <v>60000</v>
      </c>
      <c r="AC15" s="10">
        <f ca="1" xml:space="preserve"> SUMIF( Time!$J337:$BQ337, Time!AC$28, Inventory!$J65:$BQ65)</f>
        <v>70000</v>
      </c>
    </row>
    <row r="16" spans="1:29">
      <c r="E16" s="17" t="str">
        <f xml:space="preserve"> Inventory!E$54</f>
        <v>Units deployed</v>
      </c>
      <c r="F16" s="17">
        <f xml:space="preserve"> Inventory!F$54</f>
        <v>0</v>
      </c>
      <c r="G16" s="17" t="str">
        <f xml:space="preserve"> Inventory!G$54</f>
        <v>Units</v>
      </c>
      <c r="H16" s="44">
        <f ca="1" xml:space="preserve"> Inventory!H$54</f>
        <v>1070000</v>
      </c>
      <c r="I16" s="17">
        <f xml:space="preserve"> Inventory!I$54</f>
        <v>0</v>
      </c>
      <c r="J16" s="10">
        <f ca="1" xml:space="preserve"> SUMIF( Time!$J332:$BQ332, Time!J$28, Inventory!$J54:$BQ54)</f>
        <v>2000</v>
      </c>
      <c r="K16" s="10">
        <f ca="1" xml:space="preserve"> SUMIF( Time!$J332:$BQ332, Time!K$28, Inventory!$J54:$BQ54)</f>
        <v>3000</v>
      </c>
      <c r="L16" s="10">
        <f ca="1" xml:space="preserve"> SUMIF( Time!$J332:$BQ332, Time!L$28, Inventory!$J54:$BQ54)</f>
        <v>10000</v>
      </c>
      <c r="M16" s="10">
        <f ca="1" xml:space="preserve"> SUMIF( Time!$J332:$BQ332, Time!M$28, Inventory!$J54:$BQ54)</f>
        <v>10000</v>
      </c>
      <c r="N16" s="10">
        <f ca="1" xml:space="preserve"> SUMIF( Time!$J332:$BQ332, Time!N$28, Inventory!$J54:$BQ54)</f>
        <v>20000</v>
      </c>
      <c r="O16" s="10">
        <f ca="1" xml:space="preserve"> SUMIF( Time!$J332:$BQ332, Time!O$28, Inventory!$J54:$BQ54)</f>
        <v>10000</v>
      </c>
      <c r="P16" s="10">
        <f ca="1" xml:space="preserve"> SUMIF( Time!$J332:$BQ332, Time!P$28, Inventory!$J54:$BQ54)</f>
        <v>0</v>
      </c>
      <c r="Q16" s="10">
        <f ca="1" xml:space="preserve"> SUMIF( Time!$J332:$BQ332, Time!Q$28, Inventory!$J54:$BQ54)</f>
        <v>15000</v>
      </c>
      <c r="R16" s="10">
        <f ca="1" xml:space="preserve"> SUMIF( Time!$J332:$BQ332, Time!R$28, Inventory!$J54:$BQ54)</f>
        <v>25000</v>
      </c>
      <c r="S16" s="10">
        <f ca="1" xml:space="preserve"> SUMIF( Time!$J332:$BQ332, Time!S$28, Inventory!$J54:$BQ54)</f>
        <v>25000</v>
      </c>
      <c r="T16" s="10">
        <f ca="1" xml:space="preserve"> SUMIF( Time!$J332:$BQ332, Time!T$28, Inventory!$J54:$BQ54)</f>
        <v>35000</v>
      </c>
      <c r="U16" s="10">
        <f ca="1" xml:space="preserve"> SUMIF( Time!$J332:$BQ332, Time!U$28, Inventory!$J54:$BQ54)</f>
        <v>40000</v>
      </c>
      <c r="V16" s="10">
        <f ca="1" xml:space="preserve"> SUMIF( Time!$J332:$BQ332, Time!V$28, Inventory!$J54:$BQ54)</f>
        <v>55000</v>
      </c>
      <c r="W16" s="10">
        <f ca="1" xml:space="preserve"> SUMIF( Time!$J332:$BQ332, Time!W$28, Inventory!$J54:$BQ54)</f>
        <v>70000</v>
      </c>
      <c r="X16" s="10">
        <f ca="1" xml:space="preserve"> SUMIF( Time!$J332:$BQ332, Time!X$28, Inventory!$J54:$BQ54)</f>
        <v>75000</v>
      </c>
      <c r="Y16" s="10">
        <f ca="1" xml:space="preserve"> SUMIF( Time!$J332:$BQ332, Time!Y$28, Inventory!$J54:$BQ54)</f>
        <v>95000</v>
      </c>
      <c r="Z16" s="10">
        <f ca="1" xml:space="preserve"> SUMIF( Time!$J332:$BQ332, Time!Z$28, Inventory!$J54:$BQ54)</f>
        <v>110000</v>
      </c>
      <c r="AA16" s="10">
        <f ca="1" xml:space="preserve"> SUMIF( Time!$J332:$BQ332, Time!AA$28, Inventory!$J54:$BQ54)</f>
        <v>130000</v>
      </c>
      <c r="AB16" s="10">
        <f ca="1" xml:space="preserve"> SUMIF( Time!$J332:$BQ332, Time!AB$28, Inventory!$J54:$BQ54)</f>
        <v>155000</v>
      </c>
      <c r="AC16" s="10">
        <f ca="1" xml:space="preserve"> SUMIF( Time!$J332:$BQ332, Time!AC$28, Inventory!$J54:$BQ54)</f>
        <v>185000</v>
      </c>
    </row>
    <row r="17" spans="5:29">
      <c r="E17" s="17" t="str">
        <f xml:space="preserve"> Inventory!E$73</f>
        <v>Units in use</v>
      </c>
      <c r="F17" s="17">
        <f xml:space="preserve"> Inventory!F$73</f>
        <v>0</v>
      </c>
      <c r="G17" s="17" t="str">
        <f xml:space="preserve"> Inventory!G$73</f>
        <v>Units</v>
      </c>
      <c r="H17" s="44">
        <f xml:space="preserve"> Inventory!H$73</f>
        <v>0</v>
      </c>
      <c r="I17" s="17">
        <f xml:space="preserve"> Inventory!I$73</f>
        <v>0</v>
      </c>
      <c r="J17" s="10">
        <f ca="1" xml:space="preserve"> SUMIF( Time!$J337:$BQ337, Time!J$28, Inventory!$J73:$BQ73)</f>
        <v>2000</v>
      </c>
      <c r="K17" s="10">
        <f ca="1" xml:space="preserve"> SUMIF( Time!$J337:$BQ337, Time!K$28, Inventory!$J73:$BQ73)</f>
        <v>5000</v>
      </c>
      <c r="L17" s="10">
        <f ca="1" xml:space="preserve"> SUMIF( Time!$J337:$BQ337, Time!L$28, Inventory!$J73:$BQ73)</f>
        <v>15000</v>
      </c>
      <c r="M17" s="10">
        <f ca="1" xml:space="preserve"> SUMIF( Time!$J337:$BQ337, Time!M$28, Inventory!$J73:$BQ73)</f>
        <v>25000</v>
      </c>
      <c r="N17" s="10">
        <f ca="1" xml:space="preserve"> SUMIF( Time!$J337:$BQ337, Time!N$28, Inventory!$J73:$BQ73)</f>
        <v>45000</v>
      </c>
      <c r="O17" s="10">
        <f ca="1" xml:space="preserve"> SUMIF( Time!$J337:$BQ337, Time!O$28, Inventory!$J73:$BQ73)</f>
        <v>55000</v>
      </c>
      <c r="P17" s="10">
        <f ca="1" xml:space="preserve"> SUMIF( Time!$J337:$BQ337, Time!P$28, Inventory!$J73:$BQ73)</f>
        <v>55000</v>
      </c>
      <c r="Q17" s="10">
        <f ca="1" xml:space="preserve"> SUMIF( Time!$J337:$BQ337, Time!Q$28, Inventory!$J73:$BQ73)</f>
        <v>70000</v>
      </c>
      <c r="R17" s="10">
        <f ca="1" xml:space="preserve"> SUMIF( Time!$J337:$BQ337, Time!R$28, Inventory!$J73:$BQ73)</f>
        <v>92000</v>
      </c>
      <c r="S17" s="10">
        <f ca="1" xml:space="preserve"> SUMIF( Time!$J337:$BQ337, Time!S$28, Inventory!$J73:$BQ73)</f>
        <v>110000</v>
      </c>
      <c r="T17" s="10">
        <f ca="1" xml:space="preserve"> SUMIF( Time!$J337:$BQ337, Time!T$28, Inventory!$J73:$BQ73)</f>
        <v>132000</v>
      </c>
      <c r="U17" s="10">
        <f ca="1" xml:space="preserve"> SUMIF( Time!$J337:$BQ337, Time!U$28, Inventory!$J73:$BQ73)</f>
        <v>157000</v>
      </c>
      <c r="V17" s="10">
        <f ca="1" xml:space="preserve"> SUMIF( Time!$J337:$BQ337, Time!V$28, Inventory!$J73:$BQ73)</f>
        <v>195144.33871164307</v>
      </c>
      <c r="W17" s="10">
        <f ca="1" xml:space="preserve"> SUMIF( Time!$J337:$BQ337, Time!W$28, Inventory!$J73:$BQ73)</f>
        <v>245099.46637945305</v>
      </c>
      <c r="X17" s="10">
        <f ca="1" xml:space="preserve"> SUMIF( Time!$J337:$BQ337, Time!X$28, Inventory!$J73:$BQ73)</f>
        <v>296261.96158269153</v>
      </c>
      <c r="Y17" s="10">
        <f ca="1" xml:space="preserve"> SUMIF( Time!$J337:$BQ337, Time!Y$28, Inventory!$J73:$BQ73)</f>
        <v>362914.23127447121</v>
      </c>
      <c r="Z17" s="10">
        <f ca="1" xml:space="preserve"> SUMIF( Time!$J337:$BQ337, Time!Z$28, Inventory!$J73:$BQ73)</f>
        <v>436502.90869775735</v>
      </c>
      <c r="AA17" s="10">
        <f ca="1" xml:space="preserve"> SUMIF( Time!$J337:$BQ337, Time!AA$28, Inventory!$J73:$BQ73)</f>
        <v>520113.16403337731</v>
      </c>
      <c r="AB17" s="10">
        <f ca="1" xml:space="preserve"> SUMIF( Time!$J337:$BQ337, Time!AB$28, Inventory!$J73:$BQ73)</f>
        <v>615738.1544398542</v>
      </c>
      <c r="AC17" s="10">
        <f ca="1" xml:space="preserve"> SUMIF( Time!$J337:$BQ337, Time!AC$28, Inventory!$J73:$BQ73)</f>
        <v>730542.69382341357</v>
      </c>
    </row>
    <row r="18" spans="5:2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Time!$J332:$BQ332, Time!J$28, Inventory!$J77:$BQ77)</f>
        <v>0</v>
      </c>
      <c r="K18" s="10">
        <f ca="1" xml:space="preserve"> SUMIF( Time!$J332:$BQ332, Time!K$28, Inventory!$J77:$BQ77)</f>
        <v>0</v>
      </c>
      <c r="L18" s="10">
        <f ca="1" xml:space="preserve"> SUMIF( Time!$J332:$BQ332, Time!L$28, Inventory!$J77:$BQ77)</f>
        <v>0</v>
      </c>
      <c r="M18" s="10">
        <f ca="1" xml:space="preserve"> SUMIF( Time!$J332:$BQ332, Time!M$28, Inventory!$J77:$BQ77)</f>
        <v>0</v>
      </c>
      <c r="N18" s="10">
        <f ca="1" xml:space="preserve"> SUMIF( Time!$J332:$BQ332, Time!N$28, Inventory!$J77:$BQ77)</f>
        <v>0</v>
      </c>
      <c r="O18" s="10">
        <f ca="1" xml:space="preserve"> SUMIF( Time!$J332:$BQ332, Time!O$28, Inventory!$J77:$BQ77)</f>
        <v>0</v>
      </c>
      <c r="P18" s="10">
        <f ca="1" xml:space="preserve"> SUMIF( Time!$J332:$BQ332, Time!P$28, Inventory!$J77:$BQ77)</f>
        <v>0</v>
      </c>
      <c r="Q18" s="10">
        <f ca="1" xml:space="preserve"> SUMIF( Time!$J332:$BQ332, Time!Q$28, Inventory!$J77:$BQ77)</f>
        <v>0</v>
      </c>
      <c r="R18" s="10">
        <f ca="1" xml:space="preserve"> SUMIF( Time!$J332:$BQ332, Time!R$28, Inventory!$J77:$BQ77)</f>
        <v>3000</v>
      </c>
      <c r="S18" s="10">
        <f ca="1" xml:space="preserve"> SUMIF( Time!$J332:$BQ332, Time!S$28, Inventory!$J77:$BQ77)</f>
        <v>7000</v>
      </c>
      <c r="T18" s="10">
        <f ca="1" xml:space="preserve"> SUMIF( Time!$J332:$BQ332, Time!T$28, Inventory!$J77:$BQ77)</f>
        <v>13000</v>
      </c>
      <c r="U18" s="10">
        <f ca="1" xml:space="preserve"> SUMIF( Time!$J332:$BQ332, Time!U$28, Inventory!$J77:$BQ77)</f>
        <v>15000</v>
      </c>
      <c r="V18" s="10">
        <f ca="1" xml:space="preserve"> SUMIF( Time!$J332:$BQ332, Time!V$28, Inventory!$J77:$BQ77)</f>
        <v>16855.661288356947</v>
      </c>
      <c r="W18" s="10">
        <f ca="1" xml:space="preserve"> SUMIF( Time!$J332:$BQ332, Time!W$28, Inventory!$J77:$BQ77)</f>
        <v>20044.872332190011</v>
      </c>
      <c r="X18" s="10">
        <f ca="1" xml:space="preserve"> SUMIF( Time!$J332:$BQ332, Time!X$28, Inventory!$J77:$BQ77)</f>
        <v>23837.504796761554</v>
      </c>
      <c r="Y18" s="10">
        <f ca="1" xml:space="preserve"> SUMIF( Time!$J332:$BQ332, Time!Y$28, Inventory!$J77:$BQ77)</f>
        <v>28347.730308220329</v>
      </c>
      <c r="Z18" s="10">
        <f ca="1" xml:space="preserve"> SUMIF( Time!$J332:$BQ332, Time!Z$28, Inventory!$J77:$BQ77)</f>
        <v>36411.322576713901</v>
      </c>
      <c r="AA18" s="10">
        <f ca="1" xml:space="preserve"> SUMIF( Time!$J332:$BQ332, Time!AA$28, Inventory!$J77:$BQ77)</f>
        <v>46389.744664380043</v>
      </c>
      <c r="AB18" s="10">
        <f ca="1" xml:space="preserve"> SUMIF( Time!$J332:$BQ332, Time!AB$28, Inventory!$J77:$BQ77)</f>
        <v>59375.009593523122</v>
      </c>
      <c r="AC18" s="10">
        <f ca="1" xml:space="preserve"> SUMIF( Time!$J332:$BQ332, Time!AC$28, Inventory!$J77:$BQ77)</f>
        <v>70195.460616440687</v>
      </c>
    </row>
    <row r="19" spans="5:2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Time!$J337:$BQ337, Time!J$28, Inventory!$J85:$BQ85)</f>
        <v>0</v>
      </c>
      <c r="K19" s="10">
        <f ca="1" xml:space="preserve"> SUMIF( Time!$J337:$BQ337, Time!K$28, Inventory!$J85:$BQ85)</f>
        <v>0</v>
      </c>
      <c r="L19" s="10">
        <f ca="1" xml:space="preserve"> SUMIF( Time!$J337:$BQ337, Time!L$28, Inventory!$J85:$BQ85)</f>
        <v>0</v>
      </c>
      <c r="M19" s="10">
        <f ca="1" xml:space="preserve"> SUMIF( Time!$J337:$BQ337, Time!M$28, Inventory!$J85:$BQ85)</f>
        <v>0</v>
      </c>
      <c r="N19" s="10">
        <f ca="1" xml:space="preserve"> SUMIF( Time!$J337:$BQ337, Time!N$28, Inventory!$J85:$BQ85)</f>
        <v>0</v>
      </c>
      <c r="O19" s="10">
        <f ca="1" xml:space="preserve"> SUMIF( Time!$J337:$BQ337, Time!O$28, Inventory!$J85:$BQ85)</f>
        <v>0</v>
      </c>
      <c r="P19" s="10">
        <f ca="1" xml:space="preserve"> SUMIF( Time!$J337:$BQ337, Time!P$28, Inventory!$J85:$BQ85)</f>
        <v>0</v>
      </c>
      <c r="Q19" s="10">
        <f ca="1" xml:space="preserve"> SUMIF( Time!$J337:$BQ337, Time!Q$28, Inventory!$J85:$BQ85)</f>
        <v>0</v>
      </c>
      <c r="R19" s="10">
        <f ca="1" xml:space="preserve"> SUMIF( Time!$J337:$BQ337, Time!R$28, Inventory!$J85:$BQ85)</f>
        <v>3000</v>
      </c>
      <c r="S19" s="10">
        <f ca="1" xml:space="preserve"> SUMIF( Time!$J337:$BQ337, Time!S$28, Inventory!$J85:$BQ85)</f>
        <v>10000</v>
      </c>
      <c r="T19" s="10">
        <f ca="1" xml:space="preserve"> SUMIF( Time!$J337:$BQ337, Time!T$28, Inventory!$J85:$BQ85)</f>
        <v>23000</v>
      </c>
      <c r="U19" s="10">
        <f ca="1" xml:space="preserve"> SUMIF( Time!$J337:$BQ337, Time!U$28, Inventory!$J85:$BQ85)</f>
        <v>38000</v>
      </c>
      <c r="V19" s="10">
        <f ca="1" xml:space="preserve"> SUMIF( Time!$J337:$BQ337, Time!V$28, Inventory!$J85:$BQ85)</f>
        <v>54855.661288356954</v>
      </c>
      <c r="W19" s="10">
        <f ca="1" xml:space="preserve"> SUMIF( Time!$J337:$BQ337, Time!W$28, Inventory!$J85:$BQ85)</f>
        <v>74900.533620546965</v>
      </c>
      <c r="X19" s="10">
        <f ca="1" xml:space="preserve"> SUMIF( Time!$J337:$BQ337, Time!X$28, Inventory!$J85:$BQ85)</f>
        <v>98738.038417308504</v>
      </c>
      <c r="Y19" s="10">
        <f ca="1" xml:space="preserve"> SUMIF( Time!$J337:$BQ337, Time!Y$28, Inventory!$J85:$BQ85)</f>
        <v>127085.76872552883</v>
      </c>
      <c r="Z19" s="10">
        <f ca="1" xml:space="preserve"> SUMIF( Time!$J337:$BQ337, Time!Z$28, Inventory!$J85:$BQ85)</f>
        <v>163497.09130224271</v>
      </c>
      <c r="AA19" s="10">
        <f ca="1" xml:space="preserve"> SUMIF( Time!$J337:$BQ337, Time!AA$28, Inventory!$J85:$BQ85)</f>
        <v>209886.83596662275</v>
      </c>
      <c r="AB19" s="10">
        <f ca="1" xml:space="preserve"> SUMIF( Time!$J337:$BQ337, Time!AB$28, Inventory!$J85:$BQ85)</f>
        <v>269261.84556014586</v>
      </c>
      <c r="AC19" s="10">
        <f ca="1" xml:space="preserve"> SUMIF( Time!$J337:$BQ337, Time!AC$28, Inventory!$J85:$BQ85)</f>
        <v>339457.30617658654</v>
      </c>
    </row>
  </sheetData>
  <conditionalFormatting sqref="F2:F3">
    <cfRule type="cellIs" dxfId="42" priority="1" stopIfTrue="1" operator="notEqual">
      <formula>0</formula>
    </cfRule>
    <cfRule type="cellIs" dxfId="41" priority="2" stopIfTrue="1" operator="equal">
      <formula>""</formula>
    </cfRule>
  </conditionalFormatting>
  <conditionalFormatting sqref="J3:AC3">
    <cfRule type="cellIs" dxfId="40" priority="3" operator="equal">
      <formula>"PPA ext."</formula>
    </cfRule>
    <cfRule type="cellIs" dxfId="39" priority="4" operator="equal">
      <formula>"Delay"</formula>
    </cfRule>
    <cfRule type="cellIs" dxfId="38" priority="5" operator="equal">
      <formula>"Fin Close"</formula>
    </cfRule>
    <cfRule type="cellIs" dxfId="37" priority="6" stopIfTrue="1" operator="equal">
      <formula>"Construction"</formula>
    </cfRule>
    <cfRule type="cellIs" dxfId="3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4F81BD"/>
    <outlinePr summaryBelow="0" summaryRight="0"/>
  </sheetPr>
  <dimension ref="A1:S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9" width="11.77734375" bestFit="1" customWidth="1"/>
    <col min="20" max="20" width="15.109375" hidden="1" customWidth="1"/>
    <col min="21" max="16384" width="15.109375" hidden="1"/>
  </cols>
  <sheetData>
    <row r="1" spans="1:19" s="72" customFormat="1" ht="25">
      <c r="A1" s="46" t="str">
        <f ca="1" xml:space="preserve"> RIGHT(CELL("filename", A1), LEN(CELL("filename", A1)) - SEARCH("]", CELL("filename", A1)))</f>
        <v>Inventory Report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Time!$J347:$BQ347, Time!J$28, Customers!$J14:$BQ14)</f>
        <v>10000</v>
      </c>
      <c r="K8" s="10">
        <f xml:space="preserve"> SUMIF( Time!$J347:$BQ347, Time!K$28, Customers!$J14:$BQ14)</f>
        <v>28000</v>
      </c>
      <c r="L8" s="10">
        <f xml:space="preserve"> SUMIF( Time!$J347:$BQ347, Time!L$28, Customers!$J14:$BQ14)</f>
        <v>36900.533620546958</v>
      </c>
      <c r="M8" s="10">
        <f xml:space="preserve"> SUMIF( Time!$J347:$BQ347, Time!M$28, Customers!$J14:$BQ14)</f>
        <v>52185.235104981883</v>
      </c>
      <c r="N8" s="10">
        <f xml:space="preserve"> SUMIF( Time!$J347:$BQ347, Time!N$28, Customers!$J14:$BQ14)</f>
        <v>73801.067241093944</v>
      </c>
      <c r="O8" s="10">
        <f xml:space="preserve"> SUMIF( Time!$J347:$BQ347, Time!O$28, Customers!$J14:$BQ14)</f>
        <v>104370.47020996381</v>
      </c>
      <c r="P8" s="10">
        <f xml:space="preserve"> SUMIF( Time!$J347:$BQ347, Time!P$28, Customers!$J14:$BQ14)</f>
        <v>147602.13448218798</v>
      </c>
      <c r="Q8" s="10">
        <f xml:space="preserve"> SUMIF( Time!$J347:$BQ347, Time!Q$28, Customers!$J14:$BQ14)</f>
        <v>208740.94041992776</v>
      </c>
      <c r="R8" s="10">
        <f xml:space="preserve"> SUMIF( Time!$J347:$BQ347, Time!R$28, Customers!$J14:$BQ14)</f>
        <v>295204.26896437613</v>
      </c>
      <c r="S8" s="10">
        <f xml:space="preserve"> SUMIF( Time!$J347:$BQ347, Time!S$28, Customers!$J14:$BQ14)</f>
        <v>417481.88083985576</v>
      </c>
    </row>
    <row r="9" spans="1:1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Time!$J347:$BQ347, Time!J$28, Customers!$J35:$BQ35)</f>
        <v>0</v>
      </c>
      <c r="K9" s="10">
        <f ca="1" xml:space="preserve"> SUMIF( Time!$J347:$BQ347, Time!K$28, Customers!$J35:$BQ35)</f>
        <v>0</v>
      </c>
      <c r="L9" s="10">
        <f ca="1" xml:space="preserve"> SUMIF( Time!$J347:$BQ347, Time!L$28, Customers!$J35:$BQ35)</f>
        <v>0</v>
      </c>
      <c r="M9" s="10">
        <f ca="1" xml:space="preserve"> SUMIF( Time!$J347:$BQ347, Time!M$28, Customers!$J35:$BQ35)</f>
        <v>0</v>
      </c>
      <c r="N9" s="10">
        <f ca="1" xml:space="preserve"> SUMIF( Time!$J347:$BQ347, Time!N$28, Customers!$J35:$BQ35)</f>
        <v>9000</v>
      </c>
      <c r="O9" s="10">
        <f ca="1" xml:space="preserve"> SUMIF( Time!$J347:$BQ347, Time!O$28, Customers!$J35:$BQ35)</f>
        <v>25200</v>
      </c>
      <c r="P9" s="10">
        <f ca="1" xml:space="preserve"> SUMIF( Time!$J347:$BQ347, Time!P$28, Customers!$J35:$BQ35)</f>
        <v>33210.480258492258</v>
      </c>
      <c r="Q9" s="10">
        <f ca="1" xml:space="preserve"> SUMIF( Time!$J347:$BQ347, Time!Q$28, Customers!$J35:$BQ35)</f>
        <v>46966.711594483699</v>
      </c>
      <c r="R9" s="10">
        <f ca="1" xml:space="preserve"> SUMIF( Time!$J347:$BQ347, Time!R$28, Customers!$J35:$BQ35)</f>
        <v>66420.960516984545</v>
      </c>
      <c r="S9" s="10">
        <f ca="1" xml:space="preserve"> SUMIF( Time!$J347:$BQ347, Time!S$28, Customers!$J35:$BQ35)</f>
        <v>93933.423188967441</v>
      </c>
    </row>
    <row r="10" spans="1:1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Time!$J352:$BQ352, Time!J$28, Customers!$J24:$BQ24)</f>
        <v>5000</v>
      </c>
      <c r="K10" s="10">
        <f ca="1" xml:space="preserve"> SUMIF( Time!$J352:$BQ352, Time!K$28, Customers!$J24:$BQ24)</f>
        <v>13000</v>
      </c>
      <c r="L10" s="10">
        <f ca="1" xml:space="preserve"> SUMIF( Time!$J352:$BQ352, Time!L$28, Customers!$J24:$BQ24)</f>
        <v>19900.533620546954</v>
      </c>
      <c r="M10" s="10">
        <f ca="1" xml:space="preserve"> SUMIF( Time!$J352:$BQ352, Time!M$28, Customers!$J24:$BQ24)</f>
        <v>57085.76872552884</v>
      </c>
      <c r="N10" s="10">
        <f ca="1" xml:space="preserve"> SUMIF( Time!$J352:$BQ352, Time!N$28, Customers!$J24:$BQ24)</f>
        <v>89886.835966622777</v>
      </c>
      <c r="O10" s="10">
        <f ca="1" xml:space="preserve"> SUMIF( Time!$J352:$BQ352, Time!O$28, Customers!$J24:$BQ24)</f>
        <v>144457.30617658657</v>
      </c>
      <c r="P10" s="10">
        <f ca="1" xml:space="preserve"> SUMIF( Time!$J352:$BQ352, Time!P$28, Customers!$J24:$BQ24)</f>
        <v>200269.92091726678</v>
      </c>
      <c r="Q10" s="10">
        <f ca="1" xml:space="preserve"> SUMIF( Time!$J352:$BQ352, Time!Q$28, Customers!$J24:$BQ24)</f>
        <v>285977.57293167821</v>
      </c>
      <c r="R10" s="10">
        <f ca="1" xml:space="preserve"> SUMIF( Time!$J352:$BQ352, Time!R$28, Customers!$J24:$BQ24)</f>
        <v>407602.80241303897</v>
      </c>
      <c r="S10" s="10">
        <f ca="1" xml:space="preserve"> SUMIF( Time!$J352:$BQ352, Time!S$28, Customers!$J24:$BQ24)</f>
        <v>579018.10644186207</v>
      </c>
    </row>
    <row r="11" spans="1:19">
      <c r="E11" s="17" t="str">
        <f xml:space="preserve"> Inventory!E$33</f>
        <v>Units ordered</v>
      </c>
      <c r="F11" s="17">
        <f xml:space="preserve"> Inventory!F$33</f>
        <v>0</v>
      </c>
      <c r="G11" s="17" t="str">
        <f xml:space="preserve"> Inventory!G$33</f>
        <v>Units</v>
      </c>
      <c r="H11" s="44">
        <f ca="1" xml:space="preserve"> Inventory!H$33</f>
        <v>1650000</v>
      </c>
      <c r="I11" s="17">
        <f xml:space="preserve"> Inventory!I$33</f>
        <v>0</v>
      </c>
      <c r="J11" s="10">
        <f xml:space="preserve"> SUMIF( Time!$J347:$BQ347, Time!J$28, Inventory!$J33:$BQ33)</f>
        <v>30000</v>
      </c>
      <c r="K11" s="10">
        <f xml:space="preserve"> SUMIF( Time!$J347:$BQ347, Time!K$28, Inventory!$J33:$BQ33)</f>
        <v>20000</v>
      </c>
      <c r="L11" s="10">
        <f ca="1" xml:space="preserve"> SUMIF( Time!$J347:$BQ347, Time!L$28, Inventory!$J33:$BQ33)</f>
        <v>25000</v>
      </c>
      <c r="M11" s="10">
        <f ca="1" xml:space="preserve"> SUMIF( Time!$J347:$BQ347, Time!M$28, Inventory!$J33:$BQ33)</f>
        <v>50000</v>
      </c>
      <c r="N11" s="10">
        <f ca="1" xml:space="preserve"> SUMIF( Time!$J347:$BQ347, Time!N$28, Inventory!$J33:$BQ33)</f>
        <v>85000</v>
      </c>
      <c r="O11" s="10">
        <f ca="1" xml:space="preserve"> SUMIF( Time!$J347:$BQ347, Time!O$28, Inventory!$J33:$BQ33)</f>
        <v>130000</v>
      </c>
      <c r="P11" s="10">
        <f ca="1" xml:space="preserve"> SUMIF( Time!$J347:$BQ347, Time!P$28, Inventory!$J33:$BQ33)</f>
        <v>180000</v>
      </c>
      <c r="Q11" s="10">
        <f ca="1" xml:space="preserve"> SUMIF( Time!$J347:$BQ347, Time!Q$28, Inventory!$J33:$BQ33)</f>
        <v>255000</v>
      </c>
      <c r="R11" s="10">
        <f ca="1" xml:space="preserve"> SUMIF( Time!$J347:$BQ347, Time!R$28, Inventory!$J33:$BQ33)</f>
        <v>360000</v>
      </c>
      <c r="S11" s="10">
        <f ca="1" xml:space="preserve"> SUMIF( Time!$J347:$BQ347, Time!S$28, Inventory!$J33:$BQ33)</f>
        <v>515000</v>
      </c>
    </row>
    <row r="12" spans="1:19">
      <c r="E12" s="17" t="str">
        <f xml:space="preserve"> Inventory!E$50</f>
        <v>Units on order</v>
      </c>
      <c r="F12" s="17">
        <f xml:space="preserve"> Inventory!F$50</f>
        <v>0</v>
      </c>
      <c r="G12" s="17" t="str">
        <f xml:space="preserve"> Inventory!G$50</f>
        <v>Units</v>
      </c>
      <c r="H12" s="44">
        <f xml:space="preserve"> Inventory!H$50</f>
        <v>0</v>
      </c>
      <c r="I12" s="17">
        <f xml:space="preserve"> Inventory!I$50</f>
        <v>0</v>
      </c>
      <c r="J12" s="10">
        <f ca="1" xml:space="preserve"> SUMIF( Time!$J352:$BQ352, Time!J$28, Inventory!$J50:$BQ50)</f>
        <v>15000</v>
      </c>
      <c r="K12" s="10">
        <f ca="1" xml:space="preserve"> SUMIF( Time!$J352:$BQ352, Time!K$28, Inventory!$J50:$BQ50)</f>
        <v>15000</v>
      </c>
      <c r="L12" s="10">
        <f ca="1" xml:space="preserve"> SUMIF( Time!$J352:$BQ352, Time!L$28, Inventory!$J50:$BQ50)</f>
        <v>20000</v>
      </c>
      <c r="M12" s="10">
        <f ca="1" xml:space="preserve"> SUMIF( Time!$J352:$BQ352, Time!M$28, Inventory!$J50:$BQ50)</f>
        <v>45000</v>
      </c>
      <c r="N12" s="10">
        <f ca="1" xml:space="preserve"> SUMIF( Time!$J352:$BQ352, Time!N$28, Inventory!$J50:$BQ50)</f>
        <v>80000</v>
      </c>
      <c r="O12" s="10">
        <f ca="1" xml:space="preserve"> SUMIF( Time!$J352:$BQ352, Time!O$28, Inventory!$J50:$BQ50)</f>
        <v>125000</v>
      </c>
      <c r="P12" s="10">
        <f ca="1" xml:space="preserve"> SUMIF( Time!$J352:$BQ352, Time!P$28, Inventory!$J50:$BQ50)</f>
        <v>175000</v>
      </c>
      <c r="Q12" s="10">
        <f ca="1" xml:space="preserve"> SUMIF( Time!$J352:$BQ352, Time!Q$28, Inventory!$J50:$BQ50)</f>
        <v>250000</v>
      </c>
      <c r="R12" s="10">
        <f ca="1" xml:space="preserve"> SUMIF( Time!$J352:$BQ352, Time!R$28, Inventory!$J50:$BQ50)</f>
        <v>355000</v>
      </c>
      <c r="S12" s="10">
        <f ca="1" xml:space="preserve"> SUMIF( Time!$J352:$BQ352, Time!S$28, Inventory!$J50:$BQ50)</f>
        <v>510000</v>
      </c>
    </row>
    <row r="13" spans="1:19">
      <c r="E13" s="17" t="str">
        <f xml:space="preserve"> Inventory!E$41</f>
        <v>Units delivered</v>
      </c>
      <c r="F13" s="17">
        <f xml:space="preserve"> Inventory!F$41</f>
        <v>0</v>
      </c>
      <c r="G13" s="17" t="str">
        <f xml:space="preserve"> Inventory!G$41</f>
        <v>Units</v>
      </c>
      <c r="H13" s="44">
        <f ca="1" xml:space="preserve"> Inventory!H$41</f>
        <v>1140000</v>
      </c>
      <c r="I13" s="17">
        <f xml:space="preserve"> Inventory!I$41</f>
        <v>0</v>
      </c>
      <c r="J13" s="10">
        <f ca="1" xml:space="preserve"> SUMIF( Time!$J347:$BQ347, Time!J$28, Inventory!$J41:$BQ41)</f>
        <v>15000</v>
      </c>
      <c r="K13" s="10">
        <f ca="1" xml:space="preserve"> SUMIF( Time!$J347:$BQ347, Time!K$28, Inventory!$J41:$BQ41)</f>
        <v>20000</v>
      </c>
      <c r="L13" s="10">
        <f ca="1" xml:space="preserve"> SUMIF( Time!$J347:$BQ347, Time!L$28, Inventory!$J41:$BQ41)</f>
        <v>20000</v>
      </c>
      <c r="M13" s="10">
        <f ca="1" xml:space="preserve"> SUMIF( Time!$J347:$BQ347, Time!M$28, Inventory!$J41:$BQ41)</f>
        <v>25000</v>
      </c>
      <c r="N13" s="10">
        <f ca="1" xml:space="preserve"> SUMIF( Time!$J347:$BQ347, Time!N$28, Inventory!$J41:$BQ41)</f>
        <v>50000</v>
      </c>
      <c r="O13" s="10">
        <f ca="1" xml:space="preserve"> SUMIF( Time!$J347:$BQ347, Time!O$28, Inventory!$J41:$BQ41)</f>
        <v>85000</v>
      </c>
      <c r="P13" s="10">
        <f ca="1" xml:space="preserve"> SUMIF( Time!$J347:$BQ347, Time!P$28, Inventory!$J41:$BQ41)</f>
        <v>130000</v>
      </c>
      <c r="Q13" s="10">
        <f ca="1" xml:space="preserve"> SUMIF( Time!$J347:$BQ347, Time!Q$28, Inventory!$J41:$BQ41)</f>
        <v>180000</v>
      </c>
      <c r="R13" s="10">
        <f ca="1" xml:space="preserve"> SUMIF( Time!$J347:$BQ347, Time!R$28, Inventory!$J41:$BQ41)</f>
        <v>255000</v>
      </c>
      <c r="S13" s="10">
        <f ca="1" xml:space="preserve"> SUMIF( Time!$J347:$BQ347, Time!S$28, Inventory!$J41:$BQ41)</f>
        <v>360000</v>
      </c>
    </row>
    <row r="14" spans="1:1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Time!$J347:$BQ347, Time!J$28, Inventory!$J18:$BQ18)</f>
        <v>0</v>
      </c>
      <c r="K14" s="10">
        <f ca="1" xml:space="preserve"> SUMIF( Time!$J347:$BQ347, Time!K$28, Inventory!$J18:$BQ18)</f>
        <v>0</v>
      </c>
      <c r="L14" s="10">
        <f ca="1" xml:space="preserve"> SUMIF( Time!$J347:$BQ347, Time!L$28, Inventory!$J18:$BQ18)</f>
        <v>0</v>
      </c>
      <c r="M14" s="10">
        <f ca="1" xml:space="preserve"> SUMIF( Time!$J347:$BQ347, Time!M$28, Inventory!$J18:$BQ18)</f>
        <v>0</v>
      </c>
      <c r="N14" s="10">
        <f ca="1" xml:space="preserve"> SUMIF( Time!$J347:$BQ347, Time!N$28, Inventory!$J18:$BQ18)</f>
        <v>10000</v>
      </c>
      <c r="O14" s="10">
        <f ca="1" xml:space="preserve"> SUMIF( Time!$J347:$BQ347, Time!O$28, Inventory!$J18:$BQ18)</f>
        <v>28000</v>
      </c>
      <c r="P14" s="10">
        <f ca="1" xml:space="preserve"> SUMIF( Time!$J347:$BQ347, Time!P$28, Inventory!$J18:$BQ18)</f>
        <v>36900.533620546958</v>
      </c>
      <c r="Q14" s="10">
        <f ca="1" xml:space="preserve"> SUMIF( Time!$J347:$BQ347, Time!Q$28, Inventory!$J18:$BQ18)</f>
        <v>52185.235104981883</v>
      </c>
      <c r="R14" s="10">
        <f ca="1" xml:space="preserve"> SUMIF( Time!$J347:$BQ347, Time!R$28, Inventory!$J18:$BQ18)</f>
        <v>82801.06724109393</v>
      </c>
      <c r="S14" s="10">
        <f ca="1" xml:space="preserve"> SUMIF( Time!$J347:$BQ347, Time!S$28, Inventory!$J18:$BQ18)</f>
        <v>129570.47020996381</v>
      </c>
    </row>
    <row r="15" spans="1:19">
      <c r="E15" s="17" t="str">
        <f xml:space="preserve"> Inventory!E$65</f>
        <v>Units in stock</v>
      </c>
      <c r="F15" s="17">
        <f xml:space="preserve"> Inventory!F$65</f>
        <v>0</v>
      </c>
      <c r="G15" s="17" t="str">
        <f xml:space="preserve"> Inventory!G$65</f>
        <v>Units</v>
      </c>
      <c r="H15" s="44">
        <f xml:space="preserve"> Inventory!H$65</f>
        <v>0</v>
      </c>
      <c r="I15" s="17">
        <f xml:space="preserve"> Inventory!I$65</f>
        <v>0</v>
      </c>
      <c r="J15" s="10">
        <f ca="1" xml:space="preserve"> SUMIF( Time!$J352:$BQ352, Time!J$28, Inventory!$J65:$BQ65)</f>
        <v>10000</v>
      </c>
      <c r="K15" s="10">
        <f ca="1" xml:space="preserve"> SUMIF( Time!$J352:$BQ352, Time!K$28, Inventory!$J65:$BQ65)</f>
        <v>10000</v>
      </c>
      <c r="L15" s="10">
        <f ca="1" xml:space="preserve"> SUMIF( Time!$J352:$BQ352, Time!L$28, Inventory!$J65:$BQ65)</f>
        <v>0</v>
      </c>
      <c r="M15" s="10">
        <f ca="1" xml:space="preserve"> SUMIF( Time!$J352:$BQ352, Time!M$28, Inventory!$J65:$BQ65)</f>
        <v>10000</v>
      </c>
      <c r="N15" s="10">
        <f ca="1" xml:space="preserve"> SUMIF( Time!$J352:$BQ352, Time!N$28, Inventory!$J65:$BQ65)</f>
        <v>10000</v>
      </c>
      <c r="O15" s="10">
        <f ca="1" xml:space="preserve"> SUMIF( Time!$J352:$BQ352, Time!O$28, Inventory!$J65:$BQ65)</f>
        <v>20000</v>
      </c>
      <c r="P15" s="10">
        <f ca="1" xml:space="preserve"> SUMIF( Time!$J352:$BQ352, Time!P$28, Inventory!$J65:$BQ65)</f>
        <v>25000</v>
      </c>
      <c r="Q15" s="10">
        <f ca="1" xml:space="preserve"> SUMIF( Time!$J352:$BQ352, Time!Q$28, Inventory!$J65:$BQ65)</f>
        <v>35000</v>
      </c>
      <c r="R15" s="10">
        <f ca="1" xml:space="preserve"> SUMIF( Time!$J352:$BQ352, Time!R$28, Inventory!$J65:$BQ65)</f>
        <v>49999.999999999993</v>
      </c>
      <c r="S15" s="10">
        <f ca="1" xml:space="preserve"> SUMIF( Time!$J352:$BQ352, Time!S$28, Inventory!$J65:$BQ65)</f>
        <v>70000</v>
      </c>
    </row>
    <row r="16" spans="1:19">
      <c r="E16" s="17" t="str">
        <f xml:space="preserve"> Inventory!E$54</f>
        <v>Units deployed</v>
      </c>
      <c r="F16" s="17">
        <f xml:space="preserve"> Inventory!F$54</f>
        <v>0</v>
      </c>
      <c r="G16" s="17" t="str">
        <f xml:space="preserve"> Inventory!G$54</f>
        <v>Units</v>
      </c>
      <c r="H16" s="44">
        <f ca="1" xml:space="preserve"> Inventory!H$54</f>
        <v>1070000</v>
      </c>
      <c r="I16" s="17">
        <f xml:space="preserve"> Inventory!I$54</f>
        <v>0</v>
      </c>
      <c r="J16" s="10">
        <f ca="1" xml:space="preserve"> SUMIF( Time!$J347:$BQ347, Time!J$28, Inventory!$J54:$BQ54)</f>
        <v>5000</v>
      </c>
      <c r="K16" s="10">
        <f ca="1" xml:space="preserve"> SUMIF( Time!$J347:$BQ347, Time!K$28, Inventory!$J54:$BQ54)</f>
        <v>20000</v>
      </c>
      <c r="L16" s="10">
        <f ca="1" xml:space="preserve"> SUMIF( Time!$J347:$BQ347, Time!L$28, Inventory!$J54:$BQ54)</f>
        <v>30000</v>
      </c>
      <c r="M16" s="10">
        <f ca="1" xml:space="preserve"> SUMIF( Time!$J347:$BQ347, Time!M$28, Inventory!$J54:$BQ54)</f>
        <v>15000</v>
      </c>
      <c r="N16" s="10">
        <f ca="1" xml:space="preserve"> SUMIF( Time!$J347:$BQ347, Time!N$28, Inventory!$J54:$BQ54)</f>
        <v>50000</v>
      </c>
      <c r="O16" s="10">
        <f ca="1" xml:space="preserve"> SUMIF( Time!$J347:$BQ347, Time!O$28, Inventory!$J54:$BQ54)</f>
        <v>75000</v>
      </c>
      <c r="P16" s="10">
        <f ca="1" xml:space="preserve"> SUMIF( Time!$J347:$BQ347, Time!P$28, Inventory!$J54:$BQ54)</f>
        <v>125000</v>
      </c>
      <c r="Q16" s="10">
        <f ca="1" xml:space="preserve"> SUMIF( Time!$J347:$BQ347, Time!Q$28, Inventory!$J54:$BQ54)</f>
        <v>170000</v>
      </c>
      <c r="R16" s="10">
        <f ca="1" xml:space="preserve"> SUMIF( Time!$J347:$BQ347, Time!R$28, Inventory!$J54:$BQ54)</f>
        <v>240000</v>
      </c>
      <c r="S16" s="10">
        <f ca="1" xml:space="preserve"> SUMIF( Time!$J347:$BQ347, Time!S$28, Inventory!$J54:$BQ54)</f>
        <v>340000</v>
      </c>
    </row>
    <row r="17" spans="5:19">
      <c r="E17" s="17" t="str">
        <f xml:space="preserve"> Inventory!E$73</f>
        <v>Units in use</v>
      </c>
      <c r="F17" s="17">
        <f xml:space="preserve"> Inventory!F$73</f>
        <v>0</v>
      </c>
      <c r="G17" s="17" t="str">
        <f xml:space="preserve"> Inventory!G$73</f>
        <v>Units</v>
      </c>
      <c r="H17" s="44">
        <f xml:space="preserve"> Inventory!H$73</f>
        <v>0</v>
      </c>
      <c r="I17" s="17">
        <f xml:space="preserve"> Inventory!I$73</f>
        <v>0</v>
      </c>
      <c r="J17" s="10">
        <f ca="1" xml:space="preserve"> SUMIF( Time!$J352:$BQ352, Time!J$28, Inventory!$J73:$BQ73)</f>
        <v>5000</v>
      </c>
      <c r="K17" s="10">
        <f ca="1" xml:space="preserve"> SUMIF( Time!$J352:$BQ352, Time!K$28, Inventory!$J73:$BQ73)</f>
        <v>25000</v>
      </c>
      <c r="L17" s="10">
        <f ca="1" xml:space="preserve"> SUMIF( Time!$J352:$BQ352, Time!L$28, Inventory!$J73:$BQ73)</f>
        <v>55000</v>
      </c>
      <c r="M17" s="10">
        <f ca="1" xml:space="preserve"> SUMIF( Time!$J352:$BQ352, Time!M$28, Inventory!$J73:$BQ73)</f>
        <v>70000</v>
      </c>
      <c r="N17" s="10">
        <f ca="1" xml:space="preserve"> SUMIF( Time!$J352:$BQ352, Time!N$28, Inventory!$J73:$BQ73)</f>
        <v>110000</v>
      </c>
      <c r="O17" s="10">
        <f ca="1" xml:space="preserve"> SUMIF( Time!$J352:$BQ352, Time!O$28, Inventory!$J73:$BQ73)</f>
        <v>157000</v>
      </c>
      <c r="P17" s="10">
        <f ca="1" xml:space="preserve"> SUMIF( Time!$J352:$BQ352, Time!P$28, Inventory!$J73:$BQ73)</f>
        <v>245099.46637945305</v>
      </c>
      <c r="Q17" s="10">
        <f ca="1" xml:space="preserve"> SUMIF( Time!$J352:$BQ352, Time!Q$28, Inventory!$J73:$BQ73)</f>
        <v>362914.23127447121</v>
      </c>
      <c r="R17" s="10">
        <f ca="1" xml:space="preserve"> SUMIF( Time!$J352:$BQ352, Time!R$28, Inventory!$J73:$BQ73)</f>
        <v>520113.16403337731</v>
      </c>
      <c r="S17" s="10">
        <f ca="1" xml:space="preserve"> SUMIF( Time!$J352:$BQ352, Time!S$28, Inventory!$J73:$BQ73)</f>
        <v>730542.69382341357</v>
      </c>
    </row>
    <row r="18" spans="5:1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Time!$J347:$BQ347, Time!J$28, Inventory!$J77:$BQ77)</f>
        <v>0</v>
      </c>
      <c r="K18" s="10">
        <f ca="1" xml:space="preserve"> SUMIF( Time!$J347:$BQ347, Time!K$28, Inventory!$J77:$BQ77)</f>
        <v>0</v>
      </c>
      <c r="L18" s="10">
        <f ca="1" xml:space="preserve"> SUMIF( Time!$J347:$BQ347, Time!L$28, Inventory!$J77:$BQ77)</f>
        <v>0</v>
      </c>
      <c r="M18" s="10">
        <f ca="1" xml:space="preserve"> SUMIF( Time!$J347:$BQ347, Time!M$28, Inventory!$J77:$BQ77)</f>
        <v>0</v>
      </c>
      <c r="N18" s="10">
        <f ca="1" xml:space="preserve"> SUMIF( Time!$J347:$BQ347, Time!N$28, Inventory!$J77:$BQ77)</f>
        <v>10000</v>
      </c>
      <c r="O18" s="10">
        <f ca="1" xml:space="preserve"> SUMIF( Time!$J347:$BQ347, Time!O$28, Inventory!$J77:$BQ77)</f>
        <v>28000</v>
      </c>
      <c r="P18" s="10">
        <f ca="1" xml:space="preserve"> SUMIF( Time!$J347:$BQ347, Time!P$28, Inventory!$J77:$BQ77)</f>
        <v>36900.533620546958</v>
      </c>
      <c r="Q18" s="10">
        <f ca="1" xml:space="preserve"> SUMIF( Time!$J347:$BQ347, Time!Q$28, Inventory!$J77:$BQ77)</f>
        <v>52185.235104981883</v>
      </c>
      <c r="R18" s="10">
        <f ca="1" xml:space="preserve"> SUMIF( Time!$J347:$BQ347, Time!R$28, Inventory!$J77:$BQ77)</f>
        <v>82801.06724109393</v>
      </c>
      <c r="S18" s="10">
        <f ca="1" xml:space="preserve"> SUMIF( Time!$J347:$BQ347, Time!S$28, Inventory!$J77:$BQ77)</f>
        <v>129570.47020996381</v>
      </c>
    </row>
    <row r="19" spans="5:1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Time!$J352:$BQ352, Time!J$28, Inventory!$J85:$BQ85)</f>
        <v>0</v>
      </c>
      <c r="K19" s="10">
        <f ca="1" xml:space="preserve"> SUMIF( Time!$J352:$BQ352, Time!K$28, Inventory!$J85:$BQ85)</f>
        <v>0</v>
      </c>
      <c r="L19" s="10">
        <f ca="1" xml:space="preserve"> SUMIF( Time!$J352:$BQ352, Time!L$28, Inventory!$J85:$BQ85)</f>
        <v>0</v>
      </c>
      <c r="M19" s="10">
        <f ca="1" xml:space="preserve"> SUMIF( Time!$J352:$BQ352, Time!M$28, Inventory!$J85:$BQ85)</f>
        <v>0</v>
      </c>
      <c r="N19" s="10">
        <f ca="1" xml:space="preserve"> SUMIF( Time!$J352:$BQ352, Time!N$28, Inventory!$J85:$BQ85)</f>
        <v>10000</v>
      </c>
      <c r="O19" s="10">
        <f ca="1" xml:space="preserve"> SUMIF( Time!$J352:$BQ352, Time!O$28, Inventory!$J85:$BQ85)</f>
        <v>38000</v>
      </c>
      <c r="P19" s="10">
        <f ca="1" xml:space="preserve"> SUMIF( Time!$J352:$BQ352, Time!P$28, Inventory!$J85:$BQ85)</f>
        <v>74900.533620546965</v>
      </c>
      <c r="Q19" s="10">
        <f ca="1" xml:space="preserve"> SUMIF( Time!$J352:$BQ352, Time!Q$28, Inventory!$J85:$BQ85)</f>
        <v>127085.76872552883</v>
      </c>
      <c r="R19" s="10">
        <f ca="1" xml:space="preserve"> SUMIF( Time!$J352:$BQ352, Time!R$28, Inventory!$J85:$BQ85)</f>
        <v>209886.83596662275</v>
      </c>
      <c r="S19" s="10">
        <f ca="1" xml:space="preserve"> SUMIF( Time!$J352:$BQ352, Time!S$28, Inventory!$J85:$BQ85)</f>
        <v>339457.30617658654</v>
      </c>
    </row>
  </sheetData>
  <conditionalFormatting sqref="F2:F3">
    <cfRule type="cellIs" dxfId="35" priority="1" stopIfTrue="1" operator="notEqual">
      <formula>0</formula>
    </cfRule>
    <cfRule type="cellIs" dxfId="34" priority="2" stopIfTrue="1" operator="equal">
      <formula>""</formula>
    </cfRule>
  </conditionalFormatting>
  <conditionalFormatting sqref="J3:S3">
    <cfRule type="cellIs" dxfId="33" priority="3" operator="equal">
      <formula>"PPA ext."</formula>
    </cfRule>
    <cfRule type="cellIs" dxfId="32" priority="4" operator="equal">
      <formula>"Delay"</formula>
    </cfRule>
    <cfRule type="cellIs" dxfId="31" priority="5" operator="equal">
      <formula>"Fin Close"</formula>
    </cfRule>
    <cfRule type="cellIs" dxfId="30" priority="6" stopIfTrue="1" operator="equal">
      <formula>"Construction"</formula>
    </cfRule>
    <cfRule type="cellIs" dxfId="2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4F81BD"/>
    <outlinePr summaryBelow="0" summaryRight="0"/>
  </sheetPr>
  <dimension ref="A1:BQ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2" customFormat="1" ht="25">
      <c r="A1" s="46" t="str">
        <f ca="1" xml:space="preserve"> RIGHT(CELL("filename", A1), LEN(CELL("filename", A1)) - SEARCH("]", CELL("filename", A1)))</f>
        <v>Metrics Report</v>
      </c>
      <c r="B1" s="73"/>
      <c r="C1" s="77"/>
      <c r="D1" s="76"/>
      <c r="F1" s="53" t="str">
        <f>HYPERLINK("#Contents!A1","Go to contents")</f>
        <v>Go to contents</v>
      </c>
      <c r="H1" s="48"/>
      <c r="J1" s="48"/>
    </row>
    <row r="2" spans="1:69" s="55" customFormat="1">
      <c r="A2" s="51"/>
      <c r="B2" s="51"/>
      <c r="C2" s="74"/>
      <c r="D2" s="78"/>
      <c r="E2" s="22" t="s">
        <v>332</v>
      </c>
      <c r="F2" s="52">
        <f ca="1" xml:space="preserve"> 'Model Checks and Alerts'!F11</f>
        <v>0</v>
      </c>
      <c r="G2" s="56"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4"/>
      <c r="D3" s="78"/>
      <c r="E3" s="41" t="s">
        <v>207</v>
      </c>
      <c r="F3" s="52"/>
      <c r="G3" s="56" t="s">
        <v>98</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4"/>
      <c r="D4" s="78"/>
      <c r="E4" s="22" t="s">
        <v>333</v>
      </c>
      <c r="F4"/>
      <c r="G4"/>
      <c r="H4" s="50"/>
      <c r="I4" s="50"/>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4"/>
      <c r="D5" s="78"/>
      <c r="E5" s="22" t="s">
        <v>311</v>
      </c>
      <c r="F5" s="23" t="s">
        <v>254</v>
      </c>
      <c r="G5" s="23" t="s">
        <v>229</v>
      </c>
      <c r="H5" s="23" t="s">
        <v>206</v>
      </c>
      <c r="I5" s="50"/>
      <c r="J5" s="15"/>
      <c r="K5" s="15"/>
      <c r="L5" s="15"/>
      <c r="M5" s="15"/>
      <c r="N5" s="15"/>
      <c r="O5" s="15"/>
      <c r="P5" s="15"/>
    </row>
    <row r="6" spans="1:69" s="45" customFormat="1">
      <c r="A6" s="23"/>
      <c r="B6" s="23"/>
      <c r="C6" s="49"/>
      <c r="D6" s="75"/>
      <c r="F6" s="23"/>
      <c r="G6" s="23"/>
      <c r="H6" s="23"/>
    </row>
    <row r="8" spans="1:69">
      <c r="E8" s="17" t="str">
        <f xml:space="preserve"> Metrics!E$10</f>
        <v>Cash Low</v>
      </c>
      <c r="F8" s="17">
        <f ca="1" xml:space="preserve"> Metrics!$F$10</f>
        <v>-492068.6425364801</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row>
  </sheetData>
  <conditionalFormatting sqref="F2:F3">
    <cfRule type="cellIs" dxfId="28" priority="1" stopIfTrue="1" operator="notEqual">
      <formula>0</formula>
    </cfRule>
    <cfRule type="cellIs" dxfId="27" priority="2" stopIfTrue="1" operator="equal">
      <formula>""</formula>
    </cfRule>
  </conditionalFormatting>
  <conditionalFormatting sqref="J3:BQ3">
    <cfRule type="cellIs" dxfId="26" priority="3" operator="equal">
      <formula>"PPA ext."</formula>
    </cfRule>
    <cfRule type="cellIs" dxfId="25" priority="4" operator="equal">
      <formula>"Delay"</formula>
    </cfRule>
    <cfRule type="cellIs" dxfId="24" priority="5" operator="equal">
      <formula>"Fin Close"</formula>
    </cfRule>
    <cfRule type="cellIs" dxfId="23" priority="6" stopIfTrue="1" operator="equal">
      <formula>"Construction"</formula>
    </cfRule>
    <cfRule type="cellIs" dxfId="2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rgb="FF4F81BD"/>
    <outlinePr summaryBelow="0" summaryRight="0"/>
  </sheetPr>
  <dimension ref="A1:AC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2" customFormat="1" ht="25">
      <c r="A1" s="46" t="str">
        <f ca="1" xml:space="preserve"> RIGHT(CELL("filename", A1), LEN(CELL("filename", A1)) - SEARCH("]", CELL("filename", A1)))</f>
        <v>Metrics Report Qly</v>
      </c>
      <c r="B1" s="73"/>
      <c r="C1" s="77"/>
      <c r="D1" s="76"/>
      <c r="F1" s="53" t="str">
        <f>HYPERLINK("#Contents!A1","Go to contents")</f>
        <v>Go to contents</v>
      </c>
      <c r="H1" s="48"/>
      <c r="J1" s="48"/>
    </row>
    <row r="2" spans="1:29" s="55" customFormat="1">
      <c r="A2" s="51"/>
      <c r="B2" s="51"/>
      <c r="C2" s="74"/>
      <c r="D2" s="78"/>
      <c r="E2" s="22" t="s">
        <v>332</v>
      </c>
      <c r="F2" s="52">
        <f ca="1" xml:space="preserve"> 'Model Checks and Alerts'!F11</f>
        <v>0</v>
      </c>
      <c r="G2" s="56"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4"/>
      <c r="D3" s="78"/>
      <c r="E3" s="41" t="s">
        <v>207</v>
      </c>
      <c r="F3" s="52"/>
      <c r="G3" s="56" t="s">
        <v>98</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4"/>
      <c r="D4" s="78"/>
      <c r="E4" s="22" t="s">
        <v>333</v>
      </c>
      <c r="F4"/>
      <c r="G4"/>
      <c r="H4" s="50"/>
      <c r="I4" s="50"/>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4"/>
      <c r="D5" s="78"/>
      <c r="E5" s="22" t="s">
        <v>311</v>
      </c>
      <c r="F5" s="23" t="s">
        <v>254</v>
      </c>
      <c r="G5" s="23" t="s">
        <v>229</v>
      </c>
      <c r="H5" s="23" t="s">
        <v>206</v>
      </c>
      <c r="I5" s="50"/>
      <c r="J5" s="15"/>
      <c r="K5" s="15"/>
      <c r="L5" s="15"/>
      <c r="M5" s="15"/>
      <c r="N5" s="15"/>
      <c r="O5" s="15"/>
      <c r="P5" s="15"/>
    </row>
    <row r="6" spans="1:29" s="45" customFormat="1">
      <c r="A6" s="23"/>
      <c r="B6" s="23"/>
      <c r="C6" s="49"/>
      <c r="D6" s="75"/>
      <c r="F6" s="23"/>
      <c r="G6" s="23"/>
      <c r="H6" s="23"/>
    </row>
    <row r="8" spans="1:29">
      <c r="E8" s="17" t="str">
        <f xml:space="preserve"> Metrics!E$10</f>
        <v>Cash Low</v>
      </c>
      <c r="F8" s="17">
        <f ca="1" xml:space="preserve"> Metrics!$F$10</f>
        <v>-492068.6425364801</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row>
  </sheetData>
  <conditionalFormatting sqref="F2:F3">
    <cfRule type="cellIs" dxfId="21" priority="1" stopIfTrue="1" operator="notEqual">
      <formula>0</formula>
    </cfRule>
    <cfRule type="cellIs" dxfId="20" priority="2" stopIfTrue="1" operator="equal">
      <formula>""</formula>
    </cfRule>
  </conditionalFormatting>
  <conditionalFormatting sqref="J3:AC3">
    <cfRule type="cellIs" dxfId="19" priority="3" operator="equal">
      <formula>"PPA ext."</formula>
    </cfRule>
    <cfRule type="cellIs" dxfId="18" priority="4" operator="equal">
      <formula>"Delay"</formula>
    </cfRule>
    <cfRule type="cellIs" dxfId="17" priority="5" operator="equal">
      <formula>"Fin Close"</formula>
    </cfRule>
    <cfRule type="cellIs" dxfId="16" priority="6" stopIfTrue="1" operator="equal">
      <formula>"Construction"</formula>
    </cfRule>
    <cfRule type="cellIs" dxfId="1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4F81BD"/>
    <outlinePr summaryBelow="0" summaryRight="0"/>
  </sheetPr>
  <dimension ref="A1:S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9" customWidth="1"/>
    <col min="4" max="4" width="1.44140625" style="79"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9" width="11.77734375" bestFit="1" customWidth="1"/>
    <col min="20" max="20" width="15.109375" hidden="1" customWidth="1"/>
    <col min="21" max="16384" width="15.109375" hidden="1"/>
  </cols>
  <sheetData>
    <row r="1" spans="1:19" s="72" customFormat="1" ht="25">
      <c r="A1" s="46" t="str">
        <f ca="1" xml:space="preserve"> RIGHT(CELL("filename", A1), LEN(CELL("filename", A1)) - SEARCH("]", CELL("filename", A1)))</f>
        <v>Metrics Report SemiAnnually</v>
      </c>
      <c r="B1" s="73"/>
      <c r="C1" s="77"/>
      <c r="D1" s="76"/>
      <c r="F1" s="53" t="str">
        <f>HYPERLINK("#Contents!A1","Go to contents")</f>
        <v>Go to contents</v>
      </c>
      <c r="H1" s="48"/>
      <c r="J1" s="48"/>
    </row>
    <row r="2" spans="1:19" s="55" customFormat="1">
      <c r="A2" s="51"/>
      <c r="B2" s="51"/>
      <c r="C2" s="74"/>
      <c r="D2" s="78"/>
      <c r="E2" s="22" t="s">
        <v>332</v>
      </c>
      <c r="F2" s="52">
        <f ca="1" xml:space="preserve"> 'Model Checks and Alerts'!F11</f>
        <v>0</v>
      </c>
      <c r="G2" s="56"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4"/>
      <c r="D3" s="78"/>
      <c r="E3" s="41" t="s">
        <v>207</v>
      </c>
      <c r="F3" s="52"/>
      <c r="G3" s="56" t="s">
        <v>98</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4"/>
      <c r="D4" s="78"/>
      <c r="E4" s="22" t="s">
        <v>333</v>
      </c>
      <c r="F4"/>
      <c r="G4"/>
      <c r="H4" s="50"/>
      <c r="I4" s="50"/>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4"/>
      <c r="D5" s="78"/>
      <c r="E5" s="22" t="s">
        <v>311</v>
      </c>
      <c r="F5" s="23" t="s">
        <v>254</v>
      </c>
      <c r="G5" s="23" t="s">
        <v>229</v>
      </c>
      <c r="H5" s="23" t="s">
        <v>206</v>
      </c>
      <c r="I5" s="50"/>
      <c r="J5" s="15"/>
      <c r="K5" s="15"/>
      <c r="L5" s="15"/>
      <c r="M5" s="15"/>
      <c r="N5" s="15"/>
      <c r="O5" s="15"/>
      <c r="P5" s="15"/>
    </row>
    <row r="6" spans="1:19" s="45" customFormat="1">
      <c r="A6" s="23"/>
      <c r="B6" s="23"/>
      <c r="C6" s="49"/>
      <c r="D6" s="75"/>
      <c r="F6" s="23"/>
      <c r="G6" s="23"/>
      <c r="H6" s="23"/>
    </row>
    <row r="8" spans="1:19">
      <c r="E8" s="17" t="str">
        <f xml:space="preserve"> Metrics!E$10</f>
        <v>Cash Low</v>
      </c>
      <c r="F8" s="17">
        <f ca="1" xml:space="preserve"> Metrics!$F$10</f>
        <v>-492068.6425364801</v>
      </c>
      <c r="G8" s="17" t="str">
        <f xml:space="preserve"> Metrics!G$10</f>
        <v>GBP</v>
      </c>
      <c r="H8" s="44"/>
      <c r="I8" s="17"/>
      <c r="J8" s="10"/>
      <c r="K8" s="10"/>
      <c r="L8" s="10"/>
      <c r="M8" s="10"/>
      <c r="N8" s="10"/>
      <c r="O8" s="10"/>
      <c r="P8" s="10"/>
      <c r="Q8" s="10"/>
      <c r="R8" s="10"/>
      <c r="S8" s="10"/>
    </row>
  </sheetData>
  <conditionalFormatting sqref="F2:F3">
    <cfRule type="cellIs" dxfId="14" priority="1" stopIfTrue="1" operator="notEqual">
      <formula>0</formula>
    </cfRule>
    <cfRule type="cellIs" dxfId="13" priority="2" stopIfTrue="1" operator="equal">
      <formula>""</formula>
    </cfRule>
  </conditionalFormatting>
  <conditionalFormatting sqref="J3:S3">
    <cfRule type="cellIs" dxfId="12" priority="3" operator="equal">
      <formula>"PPA ext."</formula>
    </cfRule>
    <cfRule type="cellIs" dxfId="11" priority="4" operator="equal">
      <formula>"Delay"</formula>
    </cfRule>
    <cfRule type="cellIs" dxfId="10" priority="5" operator="equal">
      <formula>"Fin Close"</formula>
    </cfRule>
    <cfRule type="cellIs" dxfId="9" priority="6" stopIfTrue="1" operator="equal">
      <formula>"Construction"</formula>
    </cfRule>
    <cfRule type="cellIs" dxfId="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4F81BD"/>
    <outlinePr summaryBelow="0" summaryRight="0"/>
  </sheetPr>
  <dimension ref="A1:P6"/>
  <sheetViews>
    <sheetView showGridLines="0" zoomScale="80" workbookViewId="0">
      <selection activeCell="E2" sqref="E2:E5"/>
    </sheetView>
  </sheetViews>
  <sheetFormatPr defaultColWidth="0" defaultRowHeight="13"/>
  <cols>
    <col min="1" max="2" width="1.44140625" style="23" customWidth="1"/>
    <col min="3" max="3" width="1.44140625" style="49" customWidth="1"/>
    <col min="4" max="4" width="1.44140625" style="79" customWidth="1"/>
    <col min="5" max="5" width="71.44140625" customWidth="1"/>
    <col min="6" max="6" width="16.33203125" customWidth="1"/>
    <col min="7" max="7" width="15.109375" customWidth="1"/>
    <col min="8" max="8" width="15.109375" style="45" customWidth="1"/>
    <col min="9" max="9" width="3.44140625" customWidth="1"/>
    <col min="10" max="16" width="15.109375" customWidth="1"/>
    <col min="17" max="17" width="15.109375" hidden="1" customWidth="1"/>
    <col min="18" max="16384" width="15.109375" hidden="1"/>
  </cols>
  <sheetData>
    <row r="1" spans="1:16" s="72" customFormat="1" ht="25">
      <c r="A1" s="46" t="str">
        <f ca="1" xml:space="preserve"> RIGHT(CELL("filename", A1), LEN(CELL("filename", A1)) - SEARCH("]", CELL("filename", A1)))</f>
        <v>Results Table</v>
      </c>
      <c r="B1" s="73"/>
      <c r="C1" s="77"/>
      <c r="D1" s="76"/>
      <c r="F1" s="53" t="str">
        <f>HYPERLINK("#Contents!A1","Go to contents")</f>
        <v>Go to contents</v>
      </c>
      <c r="H1" s="48"/>
      <c r="J1" s="48"/>
    </row>
    <row r="2" spans="1:16" s="55" customFormat="1">
      <c r="A2" s="51"/>
      <c r="B2" s="51"/>
      <c r="C2" s="74"/>
      <c r="D2" s="78"/>
      <c r="E2" s="22" t="s">
        <v>332</v>
      </c>
      <c r="F2" s="52">
        <f ca="1" xml:space="preserve"> 'Model Checks and Alerts'!F11</f>
        <v>0</v>
      </c>
      <c r="G2" s="56" t="s">
        <v>143</v>
      </c>
      <c r="H2" s="50"/>
      <c r="I2" s="50"/>
      <c r="J2" s="6"/>
      <c r="K2" s="6"/>
      <c r="L2" s="6"/>
      <c r="M2" s="6"/>
      <c r="N2" s="6"/>
      <c r="O2" s="6"/>
      <c r="P2" s="6"/>
    </row>
    <row r="3" spans="1:16" s="32" customFormat="1">
      <c r="A3" s="51"/>
      <c r="B3" s="51"/>
      <c r="C3" s="74"/>
      <c r="D3" s="78"/>
      <c r="E3" s="41" t="s">
        <v>207</v>
      </c>
      <c r="F3" s="52"/>
      <c r="G3" s="56" t="s">
        <v>98</v>
      </c>
      <c r="H3" s="50"/>
      <c r="I3" s="50"/>
      <c r="J3" s="7"/>
      <c r="K3" s="7"/>
      <c r="L3" s="7"/>
      <c r="M3" s="7"/>
      <c r="N3" s="7"/>
      <c r="O3" s="7"/>
      <c r="P3" s="7"/>
    </row>
    <row r="4" spans="1:16" s="26" customFormat="1">
      <c r="A4" s="51"/>
      <c r="B4" s="51"/>
      <c r="C4" s="74"/>
      <c r="D4" s="78"/>
      <c r="E4" s="22" t="s">
        <v>333</v>
      </c>
      <c r="F4"/>
      <c r="G4"/>
      <c r="H4" s="50"/>
      <c r="I4" s="50"/>
    </row>
    <row r="5" spans="1:16" s="32" customFormat="1">
      <c r="A5" s="51"/>
      <c r="B5" s="51"/>
      <c r="C5" s="74"/>
      <c r="D5" s="78"/>
      <c r="E5" s="22" t="s">
        <v>311</v>
      </c>
      <c r="F5" s="23"/>
      <c r="G5" s="23" t="s">
        <v>229</v>
      </c>
      <c r="H5" s="23"/>
      <c r="I5" s="50"/>
      <c r="J5" s="15"/>
      <c r="K5" s="15"/>
      <c r="L5" s="15"/>
      <c r="M5" s="15"/>
      <c r="N5" s="15"/>
      <c r="O5" s="15"/>
      <c r="P5" s="15"/>
    </row>
    <row r="6" spans="1:16" s="45" customFormat="1">
      <c r="A6" s="23"/>
      <c r="B6" s="23"/>
      <c r="C6" s="49"/>
      <c r="D6" s="75"/>
      <c r="F6" s="23"/>
      <c r="G6" s="23"/>
      <c r="H6" s="23"/>
    </row>
  </sheetData>
  <conditionalFormatting sqref="F2:F3">
    <cfRule type="cellIs" dxfId="7" priority="1" stopIfTrue="1" operator="notEqual">
      <formula>0</formula>
    </cfRule>
    <cfRule type="cellIs" dxfId="6" priority="2" stopIfTrue="1" operator="equal">
      <formula>""</formula>
    </cfRule>
  </conditionalFormatting>
  <conditionalFormatting sqref="J3:P3">
    <cfRule type="cellIs" dxfId="5" priority="3" operator="equal">
      <formula>"PPA ext."</formula>
    </cfRule>
    <cfRule type="cellIs" dxfId="4" priority="4" operator="equal">
      <formula>"Delay"</formula>
    </cfRule>
    <cfRule type="cellIs" dxfId="3" priority="5" operator="equal">
      <formula>"Fin Close"</formula>
    </cfRule>
    <cfRule type="cellIs" dxfId="2" priority="6" stopIfTrue="1" operator="equal">
      <formula>"Construction"</formula>
    </cfRule>
    <cfRule type="cellIs" dxfId="1" priority="7" stopIfTrue="1" operator="equal">
      <formula>"Operations"</formula>
    </cfRule>
  </conditionalFormatting>
  <pageMargins left="0.7" right="0.7" top="0.75" bottom="0.75" header="0.3" footer="0.3"/>
  <customProperties>
    <customPr name="MMSheetType"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4F81BD"/>
    <outlinePr summaryBelow="0" summaryRight="0"/>
  </sheetPr>
  <dimension ref="A1:R25"/>
  <sheetViews>
    <sheetView showGridLines="0" defaultGridColor="0" colorId="22" zoomScale="110" workbookViewId="0">
      <pane xSplit="9" ySplit="5" topLeftCell="J6" activePane="bottomRight" state="frozen"/>
      <selection activeCell="J6" sqref="J6"/>
      <selection pane="topRight" activeCell="J6" sqref="J6"/>
      <selection pane="bottomLeft" activeCell="J6" sqref="J6"/>
      <selection pane="bottomRight" activeCell="J2" sqref="J2"/>
    </sheetView>
  </sheetViews>
  <sheetFormatPr defaultColWidth="0" defaultRowHeight="13" outlineLevelRow="1"/>
  <cols>
    <col min="1" max="2" width="1.44140625" style="144" customWidth="1"/>
    <col min="3" max="3" width="1.44140625" style="165" customWidth="1"/>
    <col min="4" max="4" width="1.44140625" style="149" customWidth="1"/>
    <col min="5" max="5" width="47.33203125" style="47" customWidth="1"/>
    <col min="6" max="6" width="14.6640625" style="47" customWidth="1"/>
    <col min="7" max="7" width="13.44140625" style="47" customWidth="1"/>
    <col min="8" max="8" width="14.6640625" style="47" customWidth="1"/>
    <col min="9" max="9" width="3" style="107" customWidth="1"/>
    <col min="10" max="10" width="5.33203125" style="133" customWidth="1"/>
    <col min="11" max="11" width="13.44140625" style="194" customWidth="1"/>
    <col min="12" max="12" width="13.44140625" style="214" customWidth="1"/>
    <col min="13" max="13" width="0.44140625" style="118" customWidth="1"/>
    <col min="14" max="16" width="14.6640625" style="41" customWidth="1"/>
    <col min="17" max="17" width="0.44140625" style="118" customWidth="1"/>
    <col min="18" max="18" width="9.109375" style="117" hidden="1" customWidth="1"/>
    <col min="19" max="19" width="10.44140625" style="117" hidden="1" customWidth="1"/>
    <col min="20" max="16384" width="10.44140625" style="117" hidden="1"/>
  </cols>
  <sheetData>
    <row r="1" spans="1:17" ht="25">
      <c r="A1" s="254" t="s">
        <v>93</v>
      </c>
      <c r="B1" s="272"/>
      <c r="C1" s="240"/>
      <c r="D1" s="281"/>
      <c r="E1" s="71"/>
      <c r="F1" s="226"/>
      <c r="G1" s="71"/>
      <c r="H1" s="71"/>
      <c r="I1" s="227"/>
      <c r="J1" s="243"/>
      <c r="K1" s="255"/>
      <c r="L1" s="236"/>
      <c r="N1" s="146"/>
      <c r="O1" s="146"/>
      <c r="P1" s="146"/>
    </row>
    <row r="2" spans="1:17">
      <c r="A2" s="234"/>
      <c r="B2" s="106"/>
      <c r="C2" s="135"/>
      <c r="E2" s="235"/>
      <c r="F2" s="117"/>
      <c r="G2" s="117" t="s">
        <v>291</v>
      </c>
      <c r="H2" s="266">
        <f ca="1" xml:space="preserve"> TODAY()</f>
        <v>45180</v>
      </c>
      <c r="J2" s="258">
        <f xml:space="preserve"> COUNTIF(J6:J24, "tu")</f>
        <v>0</v>
      </c>
      <c r="N2" s="140"/>
      <c r="O2" s="140"/>
      <c r="P2" s="140"/>
    </row>
    <row r="3" spans="1:17" s="194" customFormat="1" ht="12.5">
      <c r="A3" s="97"/>
      <c r="B3" s="97"/>
      <c r="C3" s="135"/>
      <c r="D3" s="149"/>
      <c r="E3" s="235"/>
      <c r="G3" s="194" t="s">
        <v>44</v>
      </c>
      <c r="H3" s="230" t="s">
        <v>231</v>
      </c>
      <c r="I3" s="135"/>
      <c r="J3" s="290"/>
      <c r="K3" s="170"/>
      <c r="L3" s="161"/>
      <c r="M3" s="156"/>
      <c r="N3" s="136"/>
      <c r="O3" s="136"/>
      <c r="P3" s="136"/>
      <c r="Q3" s="156"/>
    </row>
    <row r="4" spans="1:17">
      <c r="A4" s="106"/>
      <c r="B4" s="106"/>
      <c r="C4" s="135"/>
      <c r="E4" s="127"/>
      <c r="F4" s="117"/>
      <c r="G4" s="117"/>
      <c r="H4" s="223"/>
      <c r="I4" s="135"/>
      <c r="J4" s="290"/>
      <c r="N4" s="127"/>
      <c r="O4" s="127"/>
      <c r="P4" s="127"/>
    </row>
    <row r="5" spans="1:17">
      <c r="A5" s="106"/>
      <c r="B5" s="106"/>
      <c r="C5" s="135"/>
      <c r="D5" s="127"/>
      <c r="E5" s="97" t="s">
        <v>230</v>
      </c>
      <c r="F5" s="126"/>
      <c r="G5" s="211" t="s">
        <v>229</v>
      </c>
      <c r="H5" s="222">
        <v>1</v>
      </c>
      <c r="I5" s="97"/>
      <c r="J5" s="132">
        <f xml:space="preserve"> MATCH($H$5, M5:Q5, 0)</f>
        <v>2</v>
      </c>
      <c r="K5" s="170" t="s">
        <v>208</v>
      </c>
      <c r="L5" s="161" t="s">
        <v>119</v>
      </c>
      <c r="N5" s="138">
        <v>1</v>
      </c>
      <c r="O5" s="138">
        <v>2</v>
      </c>
      <c r="P5" s="138">
        <v>3</v>
      </c>
    </row>
    <row r="6" spans="1:17" s="225" customFormat="1">
      <c r="A6" s="164"/>
      <c r="B6" s="164"/>
      <c r="C6" s="213"/>
      <c r="D6" s="237"/>
      <c r="E6" s="291" t="s">
        <v>185</v>
      </c>
      <c r="F6" s="264"/>
      <c r="G6" s="113"/>
      <c r="H6" s="113"/>
      <c r="I6" s="113"/>
      <c r="J6" s="181"/>
      <c r="K6" s="262"/>
      <c r="L6" s="122"/>
      <c r="M6" s="118"/>
      <c r="N6" s="113"/>
      <c r="O6" s="113"/>
      <c r="P6" s="113"/>
      <c r="Q6" s="118"/>
    </row>
    <row r="7" spans="1:17" s="244" customFormat="1">
      <c r="A7" s="106"/>
      <c r="B7" s="106"/>
      <c r="C7" s="135"/>
      <c r="D7" s="126"/>
      <c r="E7" s="271"/>
      <c r="F7" s="188"/>
      <c r="G7" s="107"/>
      <c r="H7" s="107"/>
      <c r="I7" s="107"/>
      <c r="J7" s="132"/>
      <c r="K7" s="286"/>
      <c r="L7" s="173"/>
      <c r="M7" s="118"/>
      <c r="N7" s="107"/>
      <c r="O7" s="107"/>
      <c r="P7" s="107"/>
      <c r="Q7" s="118"/>
    </row>
    <row r="8" spans="1:17" s="244" customFormat="1">
      <c r="A8" s="106" t="s">
        <v>255</v>
      </c>
      <c r="B8" s="106"/>
      <c r="C8" s="135"/>
      <c r="D8" s="126"/>
      <c r="E8" s="107"/>
      <c r="F8" s="188"/>
      <c r="G8" s="107"/>
      <c r="H8" s="107"/>
      <c r="I8" s="107"/>
      <c r="J8" s="162"/>
      <c r="K8" s="232"/>
      <c r="L8" s="111"/>
      <c r="M8" s="118"/>
      <c r="N8" s="97"/>
      <c r="O8" s="97"/>
      <c r="P8" s="97"/>
      <c r="Q8" s="250"/>
    </row>
    <row r="9" spans="1:17" outlineLevel="1">
      <c r="A9" s="106"/>
      <c r="B9" s="106"/>
      <c r="C9" s="135"/>
      <c r="D9" s="126"/>
      <c r="L9" s="129"/>
      <c r="N9" s="115"/>
      <c r="O9" s="115"/>
      <c r="P9" s="115"/>
    </row>
    <row r="10" spans="1:17" s="129" customFormat="1" outlineLevel="1">
      <c r="A10" s="128"/>
      <c r="B10" s="128"/>
      <c r="C10" s="111"/>
      <c r="D10" s="111"/>
      <c r="E10" s="114"/>
      <c r="F10" s="199"/>
      <c r="G10" s="114"/>
      <c r="H10" s="114"/>
      <c r="I10" s="189"/>
      <c r="J10" s="162" t="s">
        <v>158</v>
      </c>
      <c r="K10" s="111">
        <f t="shared" ref="K10:K13" si="0" xml:space="preserve"> H10 - INDEX(M10:Q10, $J$5)</f>
        <v>0</v>
      </c>
      <c r="L10" s="111">
        <v>0</v>
      </c>
      <c r="M10" s="122"/>
      <c r="N10" s="119"/>
      <c r="O10" s="119"/>
      <c r="P10" s="119"/>
      <c r="Q10" s="122"/>
    </row>
    <row r="11" spans="1:17" s="270" customFormat="1" outlineLevel="1">
      <c r="A11" s="192"/>
      <c r="B11" s="192"/>
      <c r="C11" s="141"/>
      <c r="D11" s="141"/>
      <c r="E11" s="151"/>
      <c r="F11" s="274"/>
      <c r="G11" s="151"/>
      <c r="H11" s="151"/>
      <c r="I11" s="220"/>
      <c r="J11" s="162" t="s">
        <v>158</v>
      </c>
      <c r="K11" s="141">
        <f t="shared" si="0"/>
        <v>0</v>
      </c>
      <c r="L11" s="111">
        <v>0</v>
      </c>
      <c r="M11" s="158"/>
      <c r="N11" s="155"/>
      <c r="O11" s="155"/>
      <c r="P11" s="155"/>
      <c r="Q11" s="158"/>
    </row>
    <row r="12" spans="1:17" s="270" customFormat="1" outlineLevel="1">
      <c r="A12" s="192"/>
      <c r="B12" s="192"/>
      <c r="C12" s="141"/>
      <c r="D12" s="141"/>
      <c r="E12" s="151"/>
      <c r="F12" s="274"/>
      <c r="G12" s="151"/>
      <c r="H12" s="151"/>
      <c r="I12" s="220"/>
      <c r="J12" s="162" t="s">
        <v>158</v>
      </c>
      <c r="K12" s="141">
        <f t="shared" si="0"/>
        <v>0</v>
      </c>
      <c r="L12" s="111">
        <v>0</v>
      </c>
      <c r="M12" s="158"/>
      <c r="N12" s="155"/>
      <c r="O12" s="155"/>
      <c r="P12" s="155"/>
      <c r="Q12" s="158"/>
    </row>
    <row r="13" spans="1:17" s="129" customFormat="1" outlineLevel="1">
      <c r="A13" s="128"/>
      <c r="B13" s="128"/>
      <c r="C13" s="111"/>
      <c r="D13" s="111"/>
      <c r="E13" s="114"/>
      <c r="F13" s="199"/>
      <c r="G13" s="114"/>
      <c r="H13" s="114"/>
      <c r="I13" s="189"/>
      <c r="J13" s="162" t="s">
        <v>158</v>
      </c>
      <c r="K13" s="111">
        <f t="shared" si="0"/>
        <v>0</v>
      </c>
      <c r="L13" s="111">
        <v>0</v>
      </c>
      <c r="M13" s="122"/>
      <c r="N13" s="119"/>
      <c r="O13" s="119"/>
      <c r="P13" s="119"/>
      <c r="Q13" s="122"/>
    </row>
    <row r="14" spans="1:17" outlineLevel="1">
      <c r="A14" s="106"/>
      <c r="B14" s="106"/>
      <c r="C14" s="97"/>
      <c r="D14" s="126"/>
      <c r="E14" s="107"/>
      <c r="F14" s="188"/>
      <c r="G14" s="219"/>
      <c r="H14" s="173"/>
      <c r="I14" s="259"/>
      <c r="L14" s="129"/>
      <c r="M14" s="195"/>
      <c r="N14" s="115"/>
      <c r="O14" s="115"/>
      <c r="P14" s="115"/>
      <c r="Q14" s="195"/>
    </row>
    <row r="15" spans="1:17">
      <c r="A15" s="163"/>
      <c r="B15" s="163"/>
      <c r="C15" s="238"/>
      <c r="D15" s="275"/>
      <c r="E15" s="150"/>
      <c r="F15" s="150"/>
      <c r="G15" s="150"/>
      <c r="H15" s="268"/>
      <c r="I15" s="97"/>
      <c r="L15" s="129"/>
      <c r="M15" s="176"/>
      <c r="N15" s="115"/>
      <c r="O15" s="115"/>
      <c r="P15" s="115"/>
      <c r="Q15" s="176"/>
    </row>
    <row r="16" spans="1:17">
      <c r="A16" s="163"/>
      <c r="B16" s="163"/>
      <c r="C16" s="238"/>
      <c r="D16" s="275"/>
      <c r="E16" s="150"/>
      <c r="F16" s="150"/>
      <c r="G16" s="150"/>
      <c r="H16" s="268"/>
      <c r="I16" s="97"/>
      <c r="L16" s="129"/>
      <c r="M16" s="176"/>
      <c r="N16" s="115"/>
      <c r="O16" s="115"/>
      <c r="P16" s="115"/>
      <c r="Q16" s="176"/>
    </row>
    <row r="17" spans="1:17" s="207" customFormat="1" outlineLevel="1">
      <c r="A17" s="126"/>
      <c r="B17" s="163"/>
      <c r="C17" s="97"/>
      <c r="D17" s="97"/>
      <c r="E17" s="123"/>
      <c r="F17" s="123"/>
      <c r="G17" s="123"/>
      <c r="H17" s="123"/>
      <c r="I17" s="123"/>
      <c r="J17" s="210"/>
      <c r="L17" s="212"/>
      <c r="M17" s="172"/>
      <c r="N17" s="153"/>
      <c r="O17" s="153"/>
      <c r="P17" s="153"/>
      <c r="Q17" s="172"/>
    </row>
    <row r="18" spans="1:17" s="148" customFormat="1">
      <c r="A18" s="126"/>
      <c r="B18" s="163"/>
      <c r="C18" s="97"/>
      <c r="D18" s="97"/>
      <c r="E18" s="123"/>
      <c r="F18" s="123"/>
      <c r="G18" s="123"/>
      <c r="H18" s="123"/>
      <c r="I18" s="123"/>
      <c r="J18" s="133"/>
      <c r="L18" s="200"/>
      <c r="M18" s="160"/>
      <c r="N18" s="153"/>
      <c r="O18" s="153"/>
      <c r="P18" s="153"/>
      <c r="Q18" s="160"/>
    </row>
    <row r="19" spans="1:17" s="185" customFormat="1">
      <c r="A19" s="106" t="s">
        <v>331</v>
      </c>
      <c r="B19" s="97"/>
      <c r="C19" s="97"/>
      <c r="D19" s="97"/>
      <c r="E19" s="102"/>
      <c r="F19" s="204"/>
      <c r="G19" s="102"/>
      <c r="H19" s="102"/>
      <c r="I19" s="102"/>
      <c r="J19" s="132"/>
      <c r="L19" s="253"/>
      <c r="M19" s="160"/>
      <c r="N19" s="154"/>
      <c r="O19" s="154"/>
      <c r="P19" s="154"/>
      <c r="Q19" s="160"/>
    </row>
    <row r="20" spans="1:17" s="148" customFormat="1" outlineLevel="1">
      <c r="A20" s="183"/>
      <c r="B20" s="183"/>
      <c r="C20" s="206"/>
      <c r="D20" s="289"/>
      <c r="E20" s="248" t="s">
        <v>144</v>
      </c>
      <c r="F20" s="90"/>
      <c r="G20" s="221"/>
      <c r="H20" s="246">
        <f ca="1" xml:space="preserve"> NOW()</f>
        <v>45180.643057291665</v>
      </c>
      <c r="I20" s="102"/>
      <c r="J20" s="133"/>
      <c r="K20" s="185"/>
      <c r="L20" s="253"/>
      <c r="M20" s="160"/>
      <c r="N20" s="147"/>
      <c r="O20" s="147"/>
      <c r="P20" s="147"/>
      <c r="Q20" s="160"/>
    </row>
    <row r="21" spans="1:17" s="148" customFormat="1" outlineLevel="1">
      <c r="A21" s="106"/>
      <c r="B21" s="106"/>
      <c r="C21" s="135"/>
      <c r="D21" s="97"/>
      <c r="E21" s="22" t="s">
        <v>274</v>
      </c>
      <c r="F21" s="90"/>
      <c r="G21" s="22"/>
      <c r="H21" s="229" t="str">
        <f ca="1" xml:space="preserve"> MID(CELL("filename",$A$1), SEARCH("[", CELL("filename",$A$1)) + 1, SEARCH("]", CELL("filename",$A$1)) - SEARCH("[", CELL("filename",$A$1)) - 1)</f>
        <v>GEN.xlsx</v>
      </c>
      <c r="I21" s="102"/>
      <c r="J21" s="133"/>
      <c r="K21" s="185"/>
      <c r="L21" s="253"/>
      <c r="M21" s="160"/>
      <c r="N21" s="145"/>
      <c r="O21" s="145"/>
      <c r="P21" s="145"/>
      <c r="Q21" s="160"/>
    </row>
    <row r="22" spans="1:17" s="148" customFormat="1" outlineLevel="1">
      <c r="A22" s="106"/>
      <c r="B22" s="106"/>
      <c r="C22" s="135"/>
      <c r="D22" s="126"/>
      <c r="E22" s="216"/>
      <c r="F22" s="204"/>
      <c r="G22" s="102"/>
      <c r="H22" s="102"/>
      <c r="I22" s="102"/>
      <c r="J22" s="132"/>
      <c r="K22" s="185"/>
      <c r="L22" s="253"/>
      <c r="M22" s="160"/>
      <c r="N22" s="102"/>
      <c r="O22" s="102"/>
      <c r="P22" s="102"/>
      <c r="Q22" s="160"/>
    </row>
    <row r="23" spans="1:17" s="148" customFormat="1">
      <c r="A23" s="106"/>
      <c r="B23" s="106"/>
      <c r="C23" s="135"/>
      <c r="D23" s="126"/>
      <c r="E23" s="216"/>
      <c r="F23" s="204"/>
      <c r="G23" s="102"/>
      <c r="H23" s="102"/>
      <c r="I23" s="102"/>
      <c r="J23" s="132"/>
      <c r="K23" s="185"/>
      <c r="L23" s="253"/>
      <c r="M23" s="160"/>
      <c r="N23" s="102"/>
      <c r="O23" s="102"/>
      <c r="P23" s="102"/>
      <c r="Q23" s="160"/>
    </row>
    <row r="24" spans="1:17" s="239" customFormat="1">
      <c r="A24" s="177"/>
      <c r="B24" s="177"/>
      <c r="C24" s="279"/>
      <c r="D24" s="228"/>
      <c r="E24" s="263" t="s">
        <v>185</v>
      </c>
      <c r="F24" s="269"/>
      <c r="G24" s="178"/>
      <c r="H24" s="178"/>
      <c r="I24" s="260"/>
      <c r="J24" s="181" t="s">
        <v>67</v>
      </c>
      <c r="L24" s="277"/>
      <c r="M24" s="160"/>
      <c r="N24" s="143"/>
      <c r="O24" s="143"/>
      <c r="P24" s="143"/>
      <c r="Q24" s="160"/>
    </row>
    <row r="25" spans="1:17" s="148" customFormat="1">
      <c r="A25" s="144"/>
      <c r="B25" s="144"/>
      <c r="C25" s="165"/>
      <c r="D25" s="149"/>
      <c r="E25" s="22"/>
      <c r="F25" s="22"/>
      <c r="G25" s="22"/>
      <c r="H25" s="22"/>
      <c r="I25" s="102"/>
      <c r="J25" s="133"/>
      <c r="L25" s="200"/>
      <c r="M25" s="160"/>
      <c r="N25" s="22"/>
      <c r="O25" s="22"/>
      <c r="P25" s="22"/>
      <c r="Q25" s="160"/>
    </row>
  </sheetData>
  <conditionalFormatting sqref="J8 J10:J13">
    <cfRule type="cellIs" dxfId="0" priority="11" operator="equal">
      <formula>"tu"</formula>
    </cfRule>
  </conditionalFormatting>
  <printOptions gridLines="1"/>
  <pageMargins left="0.74803149606299213" right="0.74803149606299213" top="0.98425196850393704" bottom="0.98425196850393704" header="0.51181102362204722" footer="0.51181102362204722"/>
  <pageSetup paperSize="9" scale="55" orientation="landscape" blackAndWhite="1"/>
  <headerFooter>
    <oddHeader>&amp;LPROJECT YAHSAT&amp;CSheet:&amp;A&amp;RSTRICTLY CONFIDENTIAL</oddHeader>
    <oddFooter>&amp;L&amp;F ( Printed on &amp;D at &amp;T )&amp;RPage &amp;P of &amp;N</oddFooter>
  </headerFooter>
  <customProperties>
    <customPr name="MMSheetType"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outlinePr summaryBelow="0" summaryRight="0"/>
  </sheetPr>
  <dimension ref="A1:BC338"/>
  <sheetViews>
    <sheetView showGridLines="0" workbookViewId="0">
      <selection activeCell="G11" sqref="G11"/>
    </sheetView>
  </sheetViews>
  <sheetFormatPr defaultColWidth="0" defaultRowHeight="10"/>
  <cols>
    <col min="1" max="1" width="19.44140625" style="130" customWidth="1"/>
    <col min="2" max="2" width="42.33203125" style="130" customWidth="1"/>
    <col min="3" max="3" width="47.77734375" style="130" customWidth="1"/>
    <col min="4" max="4" width="21" style="130" bestFit="1" customWidth="1"/>
    <col min="5" max="5" width="18.6640625" style="130" bestFit="1" customWidth="1"/>
    <col min="6" max="6" width="19.77734375" style="130" bestFit="1" customWidth="1"/>
    <col min="7" max="7" width="23.44140625" style="130" bestFit="1" customWidth="1"/>
    <col min="8" max="8" width="104" style="130" customWidth="1"/>
    <col min="9" max="26" width="9.33203125" style="130"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Issues</v>
      </c>
    </row>
    <row r="5" spans="1:55" ht="18">
      <c r="A5" s="24" t="s">
        <v>45</v>
      </c>
      <c r="B5" s="24" t="s">
        <v>160</v>
      </c>
      <c r="C5" s="24" t="s">
        <v>233</v>
      </c>
      <c r="D5" s="24" t="s">
        <v>46</v>
      </c>
      <c r="E5" s="24" t="s">
        <v>1</v>
      </c>
      <c r="F5" s="24" t="s">
        <v>145</v>
      </c>
      <c r="G5" s="24" t="s">
        <v>96</v>
      </c>
      <c r="H5" s="24" t="s">
        <v>97</v>
      </c>
      <c r="I5" s="24"/>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2.5">
      <c r="A6" s="45"/>
      <c r="B6" s="45"/>
      <c r="C6" s="45"/>
      <c r="D6" s="249"/>
      <c r="E6" s="45"/>
      <c r="F6" s="45"/>
      <c r="G6" s="45"/>
      <c r="H6" s="45"/>
      <c r="I6" s="190"/>
      <c r="J6" s="190"/>
    </row>
    <row r="7" spans="1:55" ht="12.5">
      <c r="A7" s="45"/>
      <c r="B7" s="45"/>
      <c r="C7" s="45"/>
      <c r="D7" s="45"/>
      <c r="E7" s="45"/>
      <c r="F7" s="45"/>
      <c r="G7" s="45"/>
      <c r="H7" s="45"/>
      <c r="I7" s="190"/>
      <c r="J7" s="190"/>
    </row>
    <row r="8" spans="1:55" ht="12.5">
      <c r="A8" s="45"/>
      <c r="B8" s="45"/>
      <c r="C8" s="45"/>
      <c r="D8" s="45"/>
      <c r="E8" s="45"/>
      <c r="F8" s="45"/>
      <c r="G8" s="45"/>
      <c r="H8" s="45"/>
      <c r="I8" s="190"/>
      <c r="J8" s="190"/>
    </row>
    <row r="9" spans="1:55" ht="12.5">
      <c r="A9" s="45"/>
      <c r="B9" s="45"/>
      <c r="C9" s="45"/>
      <c r="D9" s="45"/>
      <c r="E9" s="45"/>
      <c r="F9" s="45"/>
      <c r="G9" s="45"/>
      <c r="H9" s="45"/>
      <c r="I9" s="190"/>
      <c r="J9" s="190"/>
    </row>
    <row r="10" spans="1:55" ht="12.5">
      <c r="A10" s="45"/>
      <c r="B10" s="45"/>
      <c r="C10" s="45"/>
      <c r="D10" s="45"/>
      <c r="E10" s="45"/>
      <c r="F10" s="45"/>
      <c r="G10" s="45"/>
      <c r="H10" s="45"/>
      <c r="I10" s="190"/>
      <c r="J10" s="190"/>
    </row>
    <row r="11" spans="1:55" ht="12.5">
      <c r="A11" s="45"/>
      <c r="B11" s="45"/>
      <c r="C11" s="45"/>
      <c r="D11" s="45"/>
      <c r="E11" s="45"/>
      <c r="F11" s="45"/>
      <c r="G11" s="45"/>
      <c r="H11" s="45"/>
      <c r="I11" s="190"/>
      <c r="J11" s="190"/>
    </row>
    <row r="12" spans="1:55" ht="12.5">
      <c r="A12" s="45"/>
      <c r="B12" s="45"/>
      <c r="C12" s="45"/>
      <c r="D12" s="45"/>
      <c r="E12" s="45"/>
      <c r="F12" s="45"/>
      <c r="G12" s="45"/>
      <c r="H12" s="45"/>
      <c r="I12" s="190"/>
      <c r="J12" s="190"/>
    </row>
    <row r="13" spans="1:55" ht="12.5">
      <c r="A13" s="45"/>
      <c r="B13" s="45"/>
      <c r="C13" s="45"/>
      <c r="D13" s="45"/>
      <c r="E13" s="45"/>
      <c r="F13" s="45"/>
      <c r="G13" s="45"/>
      <c r="H13" s="45"/>
      <c r="I13" s="190"/>
      <c r="J13" s="190"/>
    </row>
    <row r="14" spans="1:55" ht="12.5">
      <c r="A14" s="45"/>
      <c r="B14" s="45"/>
      <c r="C14" s="45"/>
      <c r="D14" s="45"/>
      <c r="E14" s="45"/>
      <c r="F14" s="45"/>
      <c r="G14" s="45"/>
      <c r="H14" s="45"/>
      <c r="I14" s="190"/>
      <c r="J14" s="190"/>
    </row>
    <row r="15" spans="1:55" ht="12.5">
      <c r="A15" s="45"/>
      <c r="B15" s="45"/>
      <c r="C15" s="45"/>
      <c r="D15" s="45"/>
      <c r="E15" s="45"/>
      <c r="F15" s="45"/>
      <c r="G15" s="45"/>
      <c r="H15" s="45"/>
      <c r="I15" s="190"/>
      <c r="J15" s="190"/>
    </row>
    <row r="16" spans="1:55" ht="12.5">
      <c r="A16" s="45"/>
      <c r="B16" s="45"/>
      <c r="C16" s="45"/>
      <c r="D16" s="45"/>
      <c r="E16" s="45"/>
      <c r="F16" s="45"/>
      <c r="G16" s="45"/>
      <c r="H16" s="45"/>
      <c r="I16" s="190"/>
      <c r="J16" s="190"/>
    </row>
    <row r="17" spans="1:10" ht="12.5">
      <c r="A17" s="45"/>
      <c r="B17" s="45"/>
      <c r="C17" s="45"/>
      <c r="D17" s="45"/>
      <c r="E17" s="45"/>
      <c r="F17" s="45"/>
      <c r="G17" s="45"/>
      <c r="H17" s="45"/>
      <c r="I17" s="190"/>
      <c r="J17" s="190"/>
    </row>
    <row r="18" spans="1:10" ht="12.5">
      <c r="A18" s="45"/>
      <c r="B18" s="45"/>
      <c r="C18" s="45"/>
      <c r="D18" s="45"/>
      <c r="E18" s="45"/>
      <c r="F18" s="45"/>
      <c r="G18" s="45"/>
      <c r="H18" s="45"/>
      <c r="I18" s="190"/>
      <c r="J18" s="190"/>
    </row>
    <row r="19" spans="1:10" ht="12.5">
      <c r="A19" s="45"/>
      <c r="B19" s="45"/>
      <c r="C19" s="45"/>
      <c r="D19" s="45"/>
      <c r="E19" s="45"/>
      <c r="F19" s="45"/>
      <c r="G19" s="45"/>
      <c r="H19" s="45"/>
      <c r="I19" s="190"/>
      <c r="J19" s="190"/>
    </row>
    <row r="20" spans="1:10" ht="12.5">
      <c r="A20" s="45"/>
      <c r="B20" s="45"/>
      <c r="C20" s="45"/>
      <c r="D20" s="45"/>
      <c r="E20" s="45"/>
      <c r="F20" s="45"/>
      <c r="G20" s="45"/>
      <c r="H20" s="45"/>
      <c r="I20" s="190"/>
      <c r="J20" s="190"/>
    </row>
    <row r="21" spans="1:10" ht="12.5">
      <c r="A21" s="45"/>
      <c r="B21" s="45"/>
      <c r="C21" s="45"/>
      <c r="D21" s="45"/>
      <c r="E21" s="45"/>
      <c r="F21" s="45"/>
      <c r="G21" s="45"/>
      <c r="H21" s="45"/>
      <c r="I21" s="190"/>
      <c r="J21" s="190"/>
    </row>
    <row r="22" spans="1:10" ht="12.5">
      <c r="A22" s="45"/>
      <c r="B22" s="45"/>
      <c r="C22" s="45"/>
      <c r="D22" s="45"/>
      <c r="E22" s="45"/>
      <c r="F22" s="45"/>
      <c r="G22" s="45"/>
      <c r="H22" s="45"/>
      <c r="I22" s="190"/>
      <c r="J22" s="190"/>
    </row>
    <row r="23" spans="1:10" ht="12.5">
      <c r="A23" s="45"/>
      <c r="B23" s="45"/>
      <c r="C23" s="45"/>
      <c r="D23" s="45"/>
      <c r="E23" s="45"/>
      <c r="F23" s="45"/>
      <c r="G23" s="45"/>
      <c r="H23" s="45"/>
      <c r="I23" s="190"/>
      <c r="J23" s="190"/>
    </row>
    <row r="24" spans="1:10" ht="12.5">
      <c r="A24" s="45"/>
      <c r="B24" s="45"/>
      <c r="C24" s="45"/>
      <c r="D24" s="45"/>
      <c r="E24" s="45"/>
      <c r="F24" s="45"/>
      <c r="G24" s="45"/>
      <c r="H24" s="45"/>
      <c r="I24" s="190"/>
      <c r="J24" s="190"/>
    </row>
    <row r="25" spans="1:10" ht="12.5">
      <c r="A25" s="45"/>
      <c r="B25" s="45"/>
      <c r="C25" s="45"/>
      <c r="D25" s="45"/>
      <c r="E25" s="45"/>
      <c r="F25" s="45"/>
      <c r="G25" s="45"/>
      <c r="H25" s="45"/>
      <c r="I25" s="190"/>
      <c r="J25" s="190"/>
    </row>
    <row r="26" spans="1:10" ht="12.5">
      <c r="A26" s="45"/>
      <c r="B26" s="45"/>
      <c r="C26" s="45"/>
      <c r="D26" s="45"/>
      <c r="E26" s="45"/>
      <c r="F26" s="45"/>
      <c r="G26" s="45"/>
      <c r="H26" s="45"/>
      <c r="I26" s="190"/>
      <c r="J26" s="190"/>
    </row>
    <row r="27" spans="1:10" ht="12.5">
      <c r="A27" s="45"/>
      <c r="B27" s="45"/>
      <c r="C27" s="45"/>
      <c r="D27" s="45"/>
      <c r="E27" s="45"/>
      <c r="F27" s="45"/>
      <c r="G27" s="45"/>
      <c r="H27" s="45"/>
      <c r="I27" s="190"/>
      <c r="J27" s="190"/>
    </row>
    <row r="28" spans="1:10" ht="12.5">
      <c r="A28" s="45"/>
      <c r="B28" s="45"/>
      <c r="C28" s="45"/>
      <c r="D28" s="45"/>
      <c r="E28" s="45"/>
      <c r="F28" s="45"/>
      <c r="G28" s="45"/>
      <c r="H28" s="45"/>
      <c r="I28" s="190"/>
      <c r="J28" s="190"/>
    </row>
    <row r="29" spans="1:10" ht="12.5">
      <c r="A29" s="45"/>
      <c r="B29" s="45"/>
      <c r="C29" s="45"/>
      <c r="D29" s="45"/>
      <c r="E29" s="45"/>
      <c r="F29" s="45"/>
      <c r="G29" s="45"/>
      <c r="H29" s="45"/>
      <c r="I29" s="190"/>
      <c r="J29" s="190"/>
    </row>
    <row r="30" spans="1:10" ht="12.5">
      <c r="A30" s="45"/>
      <c r="B30" s="45"/>
      <c r="C30" s="45"/>
      <c r="D30" s="45"/>
      <c r="E30" s="45"/>
      <c r="F30" s="45"/>
      <c r="G30" s="45"/>
      <c r="H30" s="45"/>
      <c r="I30" s="190"/>
      <c r="J30" s="190"/>
    </row>
    <row r="31" spans="1:10" ht="12.5">
      <c r="A31" s="45"/>
      <c r="B31" s="45"/>
      <c r="C31" s="45"/>
      <c r="D31" s="45"/>
      <c r="E31" s="45"/>
      <c r="F31" s="45"/>
      <c r="G31" s="45"/>
      <c r="H31" s="45"/>
      <c r="I31" s="190"/>
      <c r="J31" s="190"/>
    </row>
    <row r="32" spans="1:10" ht="12.5">
      <c r="A32" s="45"/>
      <c r="B32" s="45"/>
      <c r="C32" s="45"/>
      <c r="D32" s="45"/>
      <c r="E32" s="45"/>
      <c r="F32" s="45"/>
      <c r="G32" s="45"/>
      <c r="H32" s="45"/>
      <c r="I32" s="190"/>
      <c r="J32" s="190"/>
    </row>
    <row r="33" spans="1:10" ht="12.5">
      <c r="A33" s="45"/>
      <c r="B33" s="45"/>
      <c r="C33" s="45"/>
      <c r="D33" s="45"/>
      <c r="E33" s="45"/>
      <c r="F33" s="45"/>
      <c r="G33" s="45"/>
      <c r="H33" s="45"/>
      <c r="I33" s="190"/>
      <c r="J33" s="190"/>
    </row>
    <row r="34" spans="1:10" ht="12.5">
      <c r="A34" s="45"/>
      <c r="B34" s="45"/>
      <c r="C34" s="45"/>
      <c r="D34" s="45"/>
      <c r="E34" s="45"/>
      <c r="F34" s="45"/>
      <c r="G34" s="45"/>
      <c r="H34" s="45"/>
      <c r="I34" s="190"/>
      <c r="J34" s="190"/>
    </row>
    <row r="35" spans="1:10" ht="12.5">
      <c r="A35" s="45"/>
      <c r="B35" s="45"/>
      <c r="C35" s="45"/>
      <c r="D35" s="45"/>
      <c r="E35" s="45"/>
      <c r="F35" s="45"/>
      <c r="G35" s="45"/>
      <c r="H35" s="45"/>
      <c r="I35" s="190"/>
      <c r="J35" s="190"/>
    </row>
    <row r="36" spans="1:10" ht="12.5">
      <c r="A36" s="45"/>
      <c r="B36" s="45"/>
      <c r="C36" s="45"/>
      <c r="D36" s="45"/>
      <c r="E36" s="45"/>
      <c r="F36" s="45"/>
      <c r="G36" s="45"/>
      <c r="H36" s="45"/>
      <c r="I36" s="190"/>
      <c r="J36" s="190"/>
    </row>
    <row r="37" spans="1:10" ht="12.5">
      <c r="A37" s="45"/>
      <c r="B37" s="45"/>
      <c r="C37" s="45"/>
      <c r="D37" s="45"/>
      <c r="E37" s="45"/>
      <c r="F37" s="45"/>
      <c r="G37" s="45"/>
      <c r="H37" s="45"/>
      <c r="I37" s="190"/>
      <c r="J37" s="190"/>
    </row>
    <row r="38" spans="1:10" ht="12.5">
      <c r="A38" s="45"/>
      <c r="B38" s="45"/>
      <c r="C38" s="45"/>
      <c r="D38" s="45"/>
      <c r="E38" s="45"/>
      <c r="F38" s="45"/>
      <c r="G38" s="45"/>
      <c r="H38" s="45"/>
      <c r="I38" s="190"/>
      <c r="J38" s="190"/>
    </row>
    <row r="39" spans="1:10" ht="12.5">
      <c r="A39" s="45"/>
      <c r="B39" s="45"/>
      <c r="C39" s="45"/>
      <c r="D39" s="45"/>
      <c r="E39" s="45"/>
      <c r="F39" s="45"/>
      <c r="G39" s="45"/>
      <c r="H39" s="45"/>
      <c r="I39" s="190"/>
      <c r="J39" s="190"/>
    </row>
    <row r="40" spans="1:10" ht="12.5">
      <c r="A40" s="45"/>
      <c r="B40" s="45"/>
      <c r="C40" s="45"/>
      <c r="D40" s="45"/>
      <c r="E40" s="45"/>
      <c r="F40" s="45"/>
      <c r="G40" s="45"/>
      <c r="H40" s="45"/>
      <c r="I40" s="190"/>
      <c r="J40" s="190"/>
    </row>
    <row r="41" spans="1:10" ht="12.5">
      <c r="A41" s="45"/>
      <c r="B41" s="45"/>
      <c r="C41" s="45"/>
      <c r="D41" s="45"/>
      <c r="E41" s="45"/>
      <c r="F41" s="45"/>
      <c r="G41" s="45"/>
      <c r="H41" s="45"/>
      <c r="I41" s="190"/>
      <c r="J41" s="190"/>
    </row>
    <row r="42" spans="1:10" ht="12.5">
      <c r="A42" s="45"/>
      <c r="B42" s="45"/>
      <c r="C42" s="45"/>
      <c r="D42" s="45"/>
      <c r="E42" s="45"/>
      <c r="F42" s="45"/>
      <c r="G42" s="45"/>
      <c r="H42" s="45"/>
      <c r="I42" s="190"/>
      <c r="J42" s="190"/>
    </row>
    <row r="43" spans="1:10" ht="12.5">
      <c r="A43" s="45"/>
      <c r="B43" s="45"/>
      <c r="C43" s="45"/>
      <c r="D43" s="45"/>
      <c r="E43" s="45"/>
      <c r="F43" s="45"/>
      <c r="G43" s="45"/>
      <c r="H43" s="45"/>
      <c r="I43" s="190"/>
      <c r="J43" s="190"/>
    </row>
    <row r="44" spans="1:10" ht="12.5">
      <c r="A44" s="45"/>
      <c r="B44" s="45"/>
      <c r="C44" s="45"/>
      <c r="D44" s="45"/>
      <c r="E44" s="45"/>
      <c r="F44" s="45"/>
      <c r="G44" s="45"/>
      <c r="H44" s="45"/>
      <c r="I44" s="190"/>
      <c r="J44" s="190"/>
    </row>
    <row r="45" spans="1:10" ht="12.5">
      <c r="A45" s="45"/>
      <c r="B45" s="45"/>
      <c r="C45" s="45"/>
      <c r="D45" s="45"/>
      <c r="E45" s="45"/>
      <c r="F45" s="45"/>
      <c r="G45" s="45"/>
      <c r="H45" s="45"/>
      <c r="I45" s="190"/>
      <c r="J45" s="190"/>
    </row>
    <row r="46" spans="1:10" ht="12.5">
      <c r="A46" s="45"/>
      <c r="B46" s="45"/>
      <c r="C46" s="45"/>
      <c r="D46" s="45"/>
      <c r="E46" s="45"/>
      <c r="F46" s="45"/>
      <c r="G46" s="45"/>
      <c r="H46" s="45"/>
      <c r="I46" s="190"/>
      <c r="J46" s="190"/>
    </row>
    <row r="47" spans="1:10" ht="12.5">
      <c r="A47" s="45"/>
      <c r="B47" s="45"/>
      <c r="C47" s="45"/>
      <c r="D47" s="45"/>
      <c r="E47" s="45"/>
      <c r="F47" s="45"/>
      <c r="G47" s="45"/>
      <c r="H47" s="45"/>
      <c r="I47" s="190"/>
      <c r="J47" s="190"/>
    </row>
    <row r="48" spans="1:10" ht="12.5">
      <c r="A48" s="45"/>
      <c r="B48" s="45"/>
      <c r="C48" s="45"/>
      <c r="D48" s="45"/>
      <c r="E48" s="45"/>
      <c r="F48" s="45"/>
      <c r="G48" s="45"/>
      <c r="H48" s="45"/>
      <c r="I48" s="190"/>
      <c r="J48" s="190"/>
    </row>
    <row r="49" spans="1:10" ht="12.5">
      <c r="A49" s="45"/>
      <c r="B49" s="45"/>
      <c r="C49" s="45"/>
      <c r="D49" s="45"/>
      <c r="E49" s="45"/>
      <c r="F49" s="45"/>
      <c r="G49" s="45"/>
      <c r="H49" s="45"/>
      <c r="I49" s="190"/>
      <c r="J49" s="190"/>
    </row>
    <row r="50" spans="1:10" ht="12.5">
      <c r="A50" s="45"/>
      <c r="B50" s="45"/>
      <c r="C50" s="45"/>
      <c r="D50" s="45"/>
      <c r="E50" s="45"/>
      <c r="F50" s="45"/>
      <c r="G50" s="45"/>
      <c r="H50" s="45"/>
      <c r="I50" s="190"/>
      <c r="J50" s="190"/>
    </row>
    <row r="51" spans="1:10" ht="12.5">
      <c r="A51" s="45"/>
      <c r="B51" s="45"/>
      <c r="C51" s="45"/>
      <c r="D51" s="45"/>
      <c r="E51" s="45"/>
      <c r="F51" s="45"/>
      <c r="G51" s="45"/>
      <c r="H51" s="45"/>
      <c r="I51" s="190"/>
      <c r="J51" s="190"/>
    </row>
    <row r="52" spans="1:10" ht="12.5">
      <c r="A52" s="45"/>
      <c r="B52" s="45"/>
      <c r="C52" s="45"/>
      <c r="D52" s="45"/>
      <c r="E52" s="45"/>
      <c r="F52" s="45"/>
      <c r="G52" s="45"/>
      <c r="H52" s="45"/>
      <c r="I52" s="190"/>
      <c r="J52" s="190"/>
    </row>
    <row r="53" spans="1:10" ht="12.5">
      <c r="A53" s="45"/>
      <c r="B53" s="45"/>
      <c r="C53" s="45"/>
      <c r="D53" s="45"/>
      <c r="E53" s="45"/>
      <c r="F53" s="45"/>
      <c r="G53" s="45"/>
      <c r="H53" s="45"/>
      <c r="I53" s="190"/>
      <c r="J53" s="190"/>
    </row>
    <row r="54" spans="1:10" ht="12.5">
      <c r="A54" s="45"/>
      <c r="B54" s="45"/>
      <c r="C54" s="45"/>
      <c r="D54" s="45"/>
      <c r="E54" s="45"/>
      <c r="F54" s="45"/>
      <c r="G54" s="45"/>
      <c r="H54" s="45"/>
      <c r="I54" s="190"/>
      <c r="J54" s="190"/>
    </row>
    <row r="55" spans="1:10" ht="12.5">
      <c r="A55" s="45"/>
      <c r="B55" s="45"/>
      <c r="C55" s="45"/>
      <c r="D55" s="45"/>
      <c r="E55" s="45"/>
      <c r="F55" s="45"/>
      <c r="G55" s="45"/>
      <c r="H55" s="45"/>
      <c r="I55" s="190"/>
      <c r="J55" s="190"/>
    </row>
    <row r="56" spans="1:10" ht="12.5">
      <c r="A56" s="45"/>
      <c r="B56" s="45"/>
      <c r="C56" s="45"/>
      <c r="D56" s="45"/>
      <c r="E56" s="45"/>
      <c r="F56" s="45"/>
      <c r="G56" s="45"/>
      <c r="H56" s="45"/>
      <c r="I56" s="190"/>
      <c r="J56" s="190"/>
    </row>
    <row r="57" spans="1:10" ht="12.5">
      <c r="A57" s="45"/>
      <c r="B57" s="45"/>
      <c r="C57" s="45"/>
      <c r="D57" s="45"/>
      <c r="E57" s="45"/>
      <c r="F57" s="45"/>
      <c r="G57" s="45"/>
      <c r="H57" s="45"/>
      <c r="I57" s="190"/>
      <c r="J57" s="190"/>
    </row>
    <row r="58" spans="1:10" ht="12.5">
      <c r="A58" s="45"/>
      <c r="B58" s="45"/>
      <c r="C58" s="45"/>
      <c r="D58" s="45"/>
      <c r="E58" s="45"/>
      <c r="F58" s="45"/>
      <c r="G58" s="45"/>
      <c r="H58" s="45"/>
      <c r="I58" s="190"/>
      <c r="J58" s="190"/>
    </row>
    <row r="59" spans="1:10" ht="12.5">
      <c r="A59" s="45"/>
      <c r="B59" s="45"/>
      <c r="C59" s="45"/>
      <c r="D59" s="45"/>
      <c r="E59" s="45"/>
      <c r="F59" s="45"/>
      <c r="G59" s="45"/>
      <c r="H59" s="45"/>
      <c r="I59" s="190"/>
      <c r="J59" s="190"/>
    </row>
    <row r="60" spans="1:10" ht="12.5">
      <c r="A60" s="45"/>
      <c r="B60" s="45"/>
      <c r="C60" s="45"/>
      <c r="D60" s="45"/>
      <c r="E60" s="45"/>
      <c r="F60" s="45"/>
      <c r="G60" s="45"/>
      <c r="H60" s="45"/>
      <c r="I60" s="190"/>
      <c r="J60" s="190"/>
    </row>
    <row r="61" spans="1:10" ht="12.5">
      <c r="A61" s="45"/>
      <c r="B61" s="45"/>
      <c r="C61" s="45"/>
      <c r="D61" s="45"/>
      <c r="E61" s="45"/>
      <c r="F61" s="45"/>
      <c r="G61" s="45"/>
      <c r="H61" s="45"/>
      <c r="I61" s="190"/>
      <c r="J61" s="190"/>
    </row>
    <row r="62" spans="1:10" ht="12.5">
      <c r="A62" s="45"/>
      <c r="B62" s="45"/>
      <c r="C62" s="45"/>
      <c r="D62" s="45"/>
      <c r="E62" s="45"/>
      <c r="F62" s="45"/>
      <c r="G62" s="45"/>
      <c r="H62" s="45"/>
      <c r="I62" s="190"/>
      <c r="J62" s="190"/>
    </row>
    <row r="63" spans="1:10" ht="12.5">
      <c r="A63" s="45"/>
      <c r="B63" s="45"/>
      <c r="C63" s="45"/>
      <c r="D63" s="45"/>
      <c r="E63" s="45"/>
      <c r="F63" s="45"/>
      <c r="G63" s="45"/>
      <c r="H63" s="45"/>
      <c r="I63" s="190"/>
      <c r="J63" s="190"/>
    </row>
    <row r="64" spans="1:10" ht="12.5">
      <c r="A64" s="45"/>
      <c r="B64" s="45"/>
      <c r="C64" s="45"/>
      <c r="D64" s="45"/>
      <c r="E64" s="45"/>
      <c r="F64" s="45"/>
      <c r="G64" s="45"/>
      <c r="H64" s="45"/>
      <c r="I64" s="190"/>
      <c r="J64" s="190"/>
    </row>
    <row r="65" spans="1:10" ht="12.5">
      <c r="A65" s="45"/>
      <c r="B65" s="45"/>
      <c r="C65" s="45"/>
      <c r="D65" s="45"/>
      <c r="E65" s="45"/>
      <c r="F65" s="45"/>
      <c r="G65" s="45"/>
      <c r="H65" s="45"/>
      <c r="I65" s="190"/>
      <c r="J65" s="190"/>
    </row>
    <row r="66" spans="1:10" ht="12.5">
      <c r="A66" s="45"/>
      <c r="B66" s="45"/>
      <c r="C66" s="45"/>
      <c r="D66" s="45"/>
      <c r="E66" s="45"/>
      <c r="F66" s="45"/>
      <c r="G66" s="45"/>
      <c r="H66" s="45"/>
      <c r="I66" s="190"/>
      <c r="J66" s="190"/>
    </row>
    <row r="67" spans="1:10" ht="12.5">
      <c r="A67" s="45"/>
      <c r="B67" s="45"/>
      <c r="C67" s="45"/>
      <c r="D67" s="45"/>
      <c r="E67" s="45"/>
      <c r="F67" s="45"/>
      <c r="G67" s="45"/>
      <c r="H67" s="45"/>
      <c r="I67" s="190"/>
      <c r="J67" s="190"/>
    </row>
    <row r="68" spans="1:10" ht="12.5">
      <c r="A68" s="45"/>
      <c r="B68" s="45"/>
      <c r="C68" s="45"/>
      <c r="D68" s="45"/>
      <c r="E68" s="45"/>
      <c r="F68" s="45"/>
      <c r="G68" s="45"/>
      <c r="H68" s="45"/>
      <c r="I68" s="190"/>
      <c r="J68" s="190"/>
    </row>
    <row r="69" spans="1:10" ht="12.5">
      <c r="A69" s="45"/>
      <c r="B69" s="45"/>
      <c r="C69" s="45"/>
      <c r="D69" s="45"/>
      <c r="E69" s="45"/>
      <c r="F69" s="45"/>
      <c r="G69" s="45"/>
      <c r="H69" s="45"/>
      <c r="I69" s="190"/>
      <c r="J69" s="190"/>
    </row>
    <row r="70" spans="1:10" ht="12.5">
      <c r="A70" s="45"/>
      <c r="B70" s="45"/>
      <c r="C70" s="45"/>
      <c r="D70" s="45"/>
      <c r="E70" s="45"/>
      <c r="F70" s="45"/>
      <c r="G70" s="45"/>
      <c r="H70" s="45"/>
      <c r="I70" s="190"/>
      <c r="J70" s="190"/>
    </row>
    <row r="71" spans="1:10" ht="12.5">
      <c r="A71" s="45"/>
      <c r="B71" s="45"/>
      <c r="C71" s="45"/>
      <c r="D71" s="45"/>
      <c r="E71" s="45"/>
      <c r="F71" s="45"/>
      <c r="G71" s="45"/>
      <c r="H71" s="45"/>
      <c r="I71" s="190"/>
      <c r="J71" s="190"/>
    </row>
    <row r="72" spans="1:10" ht="12.5">
      <c r="A72" s="45"/>
      <c r="B72" s="45"/>
      <c r="C72" s="45"/>
      <c r="D72" s="45"/>
      <c r="E72" s="45"/>
      <c r="F72" s="45"/>
      <c r="G72" s="45"/>
      <c r="H72" s="45"/>
      <c r="I72" s="190"/>
      <c r="J72" s="190"/>
    </row>
    <row r="73" spans="1:10" ht="12.5">
      <c r="A73" s="45"/>
      <c r="B73" s="45"/>
      <c r="C73" s="45"/>
      <c r="D73" s="45"/>
      <c r="E73" s="45"/>
      <c r="F73" s="45"/>
      <c r="G73" s="45"/>
      <c r="H73" s="45"/>
      <c r="I73" s="190"/>
      <c r="J73" s="190"/>
    </row>
    <row r="74" spans="1:10" ht="12.5">
      <c r="A74" s="116"/>
      <c r="B74" s="116"/>
      <c r="C74" s="116"/>
      <c r="D74" s="109"/>
      <c r="E74" s="109"/>
      <c r="F74" s="109"/>
      <c r="G74" s="109"/>
      <c r="H74" s="109"/>
    </row>
    <row r="75" spans="1:10" ht="12.5">
      <c r="A75" s="116"/>
      <c r="B75" s="116"/>
      <c r="C75" s="116"/>
      <c r="D75" s="109"/>
      <c r="E75" s="109"/>
      <c r="F75" s="109"/>
      <c r="G75" s="109"/>
      <c r="H75" s="109"/>
    </row>
    <row r="76" spans="1:10" ht="12.5">
      <c r="A76" s="116"/>
      <c r="B76" s="116"/>
      <c r="C76" s="116"/>
      <c r="D76" s="109"/>
      <c r="E76" s="109"/>
      <c r="F76" s="109"/>
      <c r="G76" s="109"/>
      <c r="H76" s="109"/>
    </row>
    <row r="77" spans="1:10" ht="12.5">
      <c r="A77" s="116"/>
      <c r="B77" s="116"/>
      <c r="C77" s="116"/>
      <c r="D77" s="109"/>
      <c r="E77" s="109"/>
      <c r="F77" s="109"/>
      <c r="G77" s="109"/>
      <c r="H77" s="109"/>
    </row>
    <row r="78" spans="1:10" ht="12.5">
      <c r="A78" s="116"/>
      <c r="B78" s="116"/>
      <c r="C78" s="116"/>
      <c r="D78" s="109"/>
      <c r="E78" s="109"/>
      <c r="F78" s="109"/>
      <c r="G78" s="109"/>
      <c r="H78" s="109"/>
    </row>
    <row r="79" spans="1:10" ht="12.5">
      <c r="A79" s="116"/>
      <c r="B79" s="116"/>
      <c r="C79" s="116"/>
      <c r="D79" s="109"/>
      <c r="E79" s="109"/>
      <c r="F79" s="109"/>
      <c r="G79" s="109"/>
      <c r="H79" s="109"/>
    </row>
    <row r="80" spans="1:10" ht="12.5">
      <c r="A80" s="116"/>
      <c r="B80" s="116"/>
      <c r="C80" s="116"/>
      <c r="D80" s="109"/>
      <c r="E80" s="109"/>
      <c r="F80" s="109"/>
      <c r="G80" s="109"/>
      <c r="H80" s="109"/>
    </row>
    <row r="81" spans="1:8" ht="12.5">
      <c r="A81" s="116"/>
      <c r="B81" s="116"/>
      <c r="C81" s="116"/>
      <c r="D81" s="109"/>
      <c r="E81" s="109"/>
      <c r="F81" s="109"/>
      <c r="G81" s="109"/>
      <c r="H81" s="109"/>
    </row>
    <row r="82" spans="1:8" ht="12.5">
      <c r="A82" s="116"/>
      <c r="B82" s="116"/>
      <c r="C82" s="116"/>
      <c r="D82" s="109"/>
      <c r="E82" s="109"/>
      <c r="F82" s="109"/>
      <c r="G82" s="109"/>
      <c r="H82" s="109"/>
    </row>
    <row r="83" spans="1:8" ht="12.5">
      <c r="A83" s="116"/>
      <c r="B83" s="116"/>
      <c r="C83" s="116"/>
      <c r="D83" s="109"/>
      <c r="E83" s="109"/>
      <c r="F83" s="109"/>
      <c r="G83" s="109"/>
      <c r="H83" s="109"/>
    </row>
    <row r="84" spans="1:8" ht="12.5">
      <c r="A84" s="116"/>
      <c r="B84" s="116"/>
      <c r="C84" s="116"/>
      <c r="D84" s="109"/>
      <c r="E84" s="109"/>
      <c r="F84" s="109"/>
      <c r="G84" s="109"/>
      <c r="H84" s="109"/>
    </row>
    <row r="85" spans="1:8" ht="12.5">
      <c r="A85" s="116"/>
      <c r="B85" s="116"/>
      <c r="C85" s="116"/>
      <c r="D85" s="109"/>
      <c r="E85" s="109"/>
      <c r="F85" s="109"/>
      <c r="G85" s="109"/>
      <c r="H85" s="109"/>
    </row>
    <row r="86" spans="1:8" ht="12.5">
      <c r="A86" s="116"/>
      <c r="B86" s="116"/>
      <c r="C86" s="116"/>
      <c r="D86" s="109"/>
      <c r="E86" s="109"/>
      <c r="F86" s="109"/>
      <c r="G86" s="109"/>
      <c r="H86" s="109"/>
    </row>
    <row r="87" spans="1:8" ht="12.5">
      <c r="A87" s="116"/>
      <c r="B87" s="116"/>
      <c r="C87" s="116"/>
      <c r="D87" s="109"/>
      <c r="E87" s="109"/>
      <c r="F87" s="109"/>
      <c r="G87" s="109"/>
      <c r="H87" s="109"/>
    </row>
    <row r="88" spans="1:8" ht="12.5">
      <c r="A88" s="116"/>
      <c r="B88" s="116"/>
      <c r="C88" s="116"/>
      <c r="D88" s="109"/>
      <c r="E88" s="109"/>
      <c r="F88" s="109"/>
      <c r="G88" s="109"/>
      <c r="H88" s="109"/>
    </row>
    <row r="89" spans="1:8" ht="12.5">
      <c r="A89" s="116"/>
      <c r="B89" s="116"/>
      <c r="C89" s="116"/>
      <c r="D89" s="109"/>
      <c r="E89" s="109"/>
      <c r="F89" s="109"/>
      <c r="G89" s="109"/>
      <c r="H89" s="109"/>
    </row>
    <row r="90" spans="1:8" ht="12.5">
      <c r="A90" s="116"/>
      <c r="B90" s="116"/>
      <c r="C90" s="116"/>
      <c r="D90" s="109"/>
      <c r="E90" s="109"/>
      <c r="F90" s="109"/>
      <c r="G90" s="109"/>
      <c r="H90" s="109"/>
    </row>
    <row r="91" spans="1:8" ht="12.5">
      <c r="A91" s="116"/>
      <c r="B91" s="116"/>
      <c r="C91" s="116"/>
      <c r="D91" s="109"/>
      <c r="E91" s="109"/>
      <c r="F91" s="109"/>
      <c r="G91" s="109"/>
      <c r="H91" s="109"/>
    </row>
    <row r="92" spans="1:8" ht="12.5">
      <c r="A92" s="116"/>
      <c r="B92" s="116"/>
      <c r="C92" s="116"/>
      <c r="D92" s="109"/>
      <c r="E92" s="109"/>
      <c r="F92" s="109"/>
      <c r="G92" s="109"/>
      <c r="H92" s="109"/>
    </row>
    <row r="93" spans="1:8" ht="12.5">
      <c r="A93" s="116"/>
      <c r="B93" s="116"/>
      <c r="C93" s="116"/>
      <c r="D93" s="109"/>
      <c r="E93" s="109"/>
      <c r="F93" s="109"/>
      <c r="G93" s="109"/>
      <c r="H93" s="109"/>
    </row>
    <row r="94" spans="1:8" ht="12.5">
      <c r="A94" s="116"/>
      <c r="B94" s="116"/>
      <c r="C94" s="116"/>
      <c r="D94" s="109"/>
      <c r="E94" s="109"/>
      <c r="F94" s="109"/>
      <c r="G94" s="109"/>
      <c r="H94" s="109"/>
    </row>
    <row r="95" spans="1:8" ht="12.5">
      <c r="A95" s="116"/>
      <c r="B95" s="116"/>
      <c r="C95" s="116"/>
      <c r="D95" s="109"/>
      <c r="E95" s="109"/>
      <c r="F95" s="109"/>
      <c r="G95" s="109"/>
      <c r="H95" s="109"/>
    </row>
    <row r="96" spans="1:8" ht="12.5">
      <c r="A96" s="116"/>
      <c r="B96" s="116"/>
      <c r="C96" s="116"/>
      <c r="D96" s="109"/>
      <c r="E96" s="109"/>
      <c r="F96" s="109"/>
      <c r="G96" s="109"/>
      <c r="H96" s="109"/>
    </row>
    <row r="97" spans="1:8" ht="12.5">
      <c r="A97" s="116"/>
      <c r="B97" s="116"/>
      <c r="C97" s="116"/>
      <c r="D97" s="109"/>
      <c r="E97" s="109"/>
      <c r="F97" s="109"/>
      <c r="G97" s="109"/>
      <c r="H97" s="109"/>
    </row>
    <row r="98" spans="1:8" ht="12.5">
      <c r="A98" s="116"/>
      <c r="B98" s="116"/>
      <c r="C98" s="116"/>
      <c r="D98" s="109"/>
      <c r="E98" s="109"/>
      <c r="F98" s="109"/>
      <c r="G98" s="109"/>
      <c r="H98" s="109"/>
    </row>
    <row r="99" spans="1:8" ht="12.5">
      <c r="A99" s="116"/>
      <c r="B99" s="116"/>
      <c r="C99" s="116"/>
      <c r="D99" s="109"/>
      <c r="E99" s="109"/>
      <c r="F99" s="109"/>
      <c r="G99" s="109"/>
      <c r="H99" s="109"/>
    </row>
    <row r="100" spans="1:8" ht="12.5">
      <c r="A100" s="116"/>
      <c r="B100" s="116"/>
      <c r="C100" s="116"/>
      <c r="D100" s="109"/>
      <c r="E100" s="109"/>
      <c r="F100" s="109"/>
      <c r="G100" s="109"/>
      <c r="H100" s="109"/>
    </row>
    <row r="101" spans="1:8" ht="12.5">
      <c r="A101" s="116"/>
      <c r="B101" s="116"/>
      <c r="C101" s="116"/>
      <c r="D101" s="109"/>
      <c r="E101" s="109"/>
      <c r="F101" s="109"/>
      <c r="G101" s="109"/>
      <c r="H101" s="109"/>
    </row>
    <row r="102" spans="1:8" ht="12.5">
      <c r="A102" s="116"/>
      <c r="B102" s="116"/>
      <c r="C102" s="116"/>
      <c r="D102" s="109"/>
      <c r="E102" s="109"/>
      <c r="F102" s="109"/>
      <c r="G102" s="109"/>
      <c r="H102" s="109"/>
    </row>
    <row r="103" spans="1:8" ht="12.5">
      <c r="A103" s="116"/>
      <c r="B103" s="116"/>
      <c r="C103" s="116"/>
      <c r="D103" s="109"/>
      <c r="E103" s="109"/>
      <c r="F103" s="109"/>
      <c r="G103" s="109"/>
      <c r="H103" s="109"/>
    </row>
    <row r="104" spans="1:8" ht="12.5">
      <c r="A104" s="116"/>
      <c r="B104" s="116"/>
      <c r="C104" s="116"/>
      <c r="D104" s="109"/>
      <c r="E104" s="109"/>
      <c r="F104" s="109"/>
      <c r="G104" s="109"/>
      <c r="H104" s="109"/>
    </row>
    <row r="105" spans="1:8" ht="12.5">
      <c r="A105" s="116"/>
      <c r="B105" s="116"/>
      <c r="C105" s="116"/>
      <c r="D105" s="109"/>
      <c r="E105" s="109"/>
      <c r="F105" s="109"/>
      <c r="G105" s="109"/>
      <c r="H105" s="109"/>
    </row>
    <row r="106" spans="1:8" ht="12.5">
      <c r="A106" s="116"/>
      <c r="B106" s="116"/>
      <c r="C106" s="116"/>
      <c r="D106" s="109"/>
      <c r="E106" s="109"/>
      <c r="F106" s="109"/>
      <c r="G106" s="109"/>
      <c r="H106" s="109"/>
    </row>
    <row r="107" spans="1:8" ht="12.5">
      <c r="A107" s="116"/>
      <c r="B107" s="116"/>
      <c r="C107" s="116"/>
      <c r="D107" s="109"/>
      <c r="E107" s="109"/>
      <c r="F107" s="109"/>
      <c r="G107" s="109"/>
      <c r="H107" s="109"/>
    </row>
    <row r="108" spans="1:8" ht="12.5">
      <c r="A108" s="116"/>
      <c r="B108" s="116"/>
      <c r="C108" s="116"/>
      <c r="D108" s="109"/>
      <c r="E108" s="109"/>
      <c r="F108" s="109"/>
      <c r="G108" s="109"/>
      <c r="H108" s="109"/>
    </row>
    <row r="109" spans="1:8" ht="12.5">
      <c r="A109" s="116"/>
      <c r="B109" s="116"/>
      <c r="C109" s="116"/>
      <c r="D109" s="109"/>
      <c r="E109" s="109"/>
      <c r="F109" s="109"/>
      <c r="G109" s="109"/>
      <c r="H109" s="109"/>
    </row>
    <row r="110" spans="1:8" ht="12.5">
      <c r="A110" s="116"/>
      <c r="B110" s="116"/>
      <c r="C110" s="116"/>
      <c r="D110" s="109"/>
      <c r="E110" s="109"/>
      <c r="F110" s="109"/>
      <c r="G110" s="109"/>
      <c r="H110" s="109"/>
    </row>
    <row r="111" spans="1:8" ht="12.5">
      <c r="A111" s="116"/>
      <c r="B111" s="116"/>
      <c r="C111" s="116"/>
      <c r="D111" s="109"/>
      <c r="E111" s="109"/>
      <c r="F111" s="109"/>
      <c r="G111" s="109"/>
      <c r="H111" s="109"/>
    </row>
    <row r="112" spans="1:8" ht="12.5">
      <c r="A112" s="116"/>
      <c r="B112" s="116"/>
      <c r="C112" s="116"/>
      <c r="D112" s="109"/>
      <c r="E112" s="109"/>
      <c r="F112" s="109"/>
      <c r="G112" s="109"/>
      <c r="H112" s="109"/>
    </row>
    <row r="113" spans="1:8" ht="12.5">
      <c r="A113" s="116"/>
      <c r="B113" s="116"/>
      <c r="C113" s="116"/>
      <c r="D113" s="109"/>
      <c r="E113" s="109"/>
      <c r="F113" s="109"/>
      <c r="G113" s="109"/>
      <c r="H113" s="109"/>
    </row>
    <row r="114" spans="1:8" ht="12.5">
      <c r="A114" s="116"/>
      <c r="B114" s="116"/>
      <c r="C114" s="116"/>
      <c r="D114" s="109"/>
      <c r="E114" s="109"/>
      <c r="F114" s="109"/>
      <c r="G114" s="109"/>
      <c r="H114" s="109"/>
    </row>
    <row r="115" spans="1:8" ht="12.5">
      <c r="A115" s="116"/>
      <c r="B115" s="116"/>
      <c r="C115" s="116"/>
      <c r="D115" s="109"/>
      <c r="E115" s="109"/>
      <c r="F115" s="109"/>
      <c r="G115" s="109"/>
      <c r="H115" s="109"/>
    </row>
    <row r="116" spans="1:8" ht="12.5">
      <c r="A116" s="116"/>
      <c r="B116" s="116"/>
      <c r="C116" s="116"/>
      <c r="D116" s="109"/>
      <c r="E116" s="109"/>
      <c r="F116" s="109"/>
      <c r="G116" s="109"/>
      <c r="H116" s="109"/>
    </row>
    <row r="117" spans="1:8" ht="12.5">
      <c r="A117" s="116"/>
      <c r="B117" s="116"/>
      <c r="C117" s="116"/>
      <c r="D117" s="109"/>
      <c r="E117" s="109"/>
      <c r="F117" s="109"/>
      <c r="G117" s="109"/>
      <c r="H117" s="109"/>
    </row>
    <row r="118" spans="1:8" ht="12.5">
      <c r="A118" s="116"/>
      <c r="B118" s="116"/>
      <c r="C118" s="116"/>
      <c r="D118" s="109"/>
      <c r="E118" s="109"/>
      <c r="F118" s="109"/>
      <c r="G118" s="109"/>
      <c r="H118" s="109"/>
    </row>
    <row r="119" spans="1:8" ht="12.5">
      <c r="A119" s="116"/>
      <c r="B119" s="116"/>
      <c r="C119" s="116"/>
      <c r="D119" s="109"/>
      <c r="E119" s="109"/>
      <c r="F119" s="109"/>
      <c r="G119" s="109"/>
      <c r="H119" s="109"/>
    </row>
    <row r="120" spans="1:8" ht="12.5">
      <c r="A120" s="116"/>
      <c r="B120" s="116"/>
      <c r="C120" s="116"/>
      <c r="D120" s="109"/>
      <c r="E120" s="109"/>
      <c r="F120" s="109"/>
      <c r="G120" s="109"/>
      <c r="H120" s="109"/>
    </row>
    <row r="121" spans="1:8" ht="12.5">
      <c r="A121" s="116"/>
      <c r="B121" s="116"/>
      <c r="C121" s="116"/>
      <c r="D121" s="109"/>
      <c r="E121" s="109"/>
      <c r="F121" s="109"/>
      <c r="G121" s="109"/>
      <c r="H121" s="109"/>
    </row>
    <row r="122" spans="1:8" ht="12.5">
      <c r="A122" s="116"/>
      <c r="B122" s="116"/>
      <c r="C122" s="116"/>
      <c r="D122" s="109"/>
      <c r="E122" s="109"/>
      <c r="F122" s="109"/>
      <c r="G122" s="109"/>
      <c r="H122" s="109"/>
    </row>
    <row r="123" spans="1:8" ht="12.5">
      <c r="A123" s="116"/>
      <c r="B123" s="116"/>
      <c r="C123" s="116"/>
      <c r="D123" s="109"/>
      <c r="E123" s="109"/>
      <c r="F123" s="109"/>
      <c r="G123" s="109"/>
      <c r="H123" s="109"/>
    </row>
    <row r="124" spans="1:8" ht="12.5">
      <c r="A124" s="116"/>
      <c r="B124" s="116"/>
      <c r="C124" s="116"/>
      <c r="D124" s="109"/>
      <c r="E124" s="109"/>
      <c r="F124" s="109"/>
      <c r="G124" s="109"/>
      <c r="H124" s="109"/>
    </row>
    <row r="125" spans="1:8" ht="12.5">
      <c r="A125" s="116"/>
      <c r="B125" s="116"/>
      <c r="C125" s="116"/>
      <c r="D125" s="109"/>
      <c r="E125" s="109"/>
      <c r="F125" s="109"/>
      <c r="G125" s="109"/>
      <c r="H125" s="109"/>
    </row>
    <row r="126" spans="1:8" ht="12.5">
      <c r="A126" s="116"/>
      <c r="B126" s="116"/>
      <c r="C126" s="116"/>
      <c r="D126" s="109"/>
      <c r="E126" s="109"/>
      <c r="F126" s="109"/>
      <c r="G126" s="109"/>
      <c r="H126" s="109"/>
    </row>
    <row r="127" spans="1:8" ht="12.5">
      <c r="A127" s="116"/>
      <c r="B127" s="116"/>
      <c r="C127" s="116"/>
      <c r="D127" s="109"/>
      <c r="E127" s="109"/>
      <c r="F127" s="109"/>
      <c r="G127" s="109"/>
      <c r="H127" s="109"/>
    </row>
    <row r="128" spans="1:8" ht="12.5">
      <c r="A128" s="116"/>
      <c r="B128" s="116"/>
      <c r="C128" s="116"/>
      <c r="D128" s="109"/>
      <c r="E128" s="109"/>
      <c r="F128" s="109"/>
      <c r="G128" s="109"/>
      <c r="H128" s="109"/>
    </row>
    <row r="129" spans="1:8" ht="12.5">
      <c r="A129" s="116"/>
      <c r="B129" s="116"/>
      <c r="C129" s="116"/>
      <c r="D129" s="109"/>
      <c r="E129" s="109"/>
      <c r="F129" s="109"/>
      <c r="G129" s="109"/>
      <c r="H129" s="109"/>
    </row>
    <row r="130" spans="1:8" ht="12.5">
      <c r="A130" s="116"/>
      <c r="B130" s="116"/>
      <c r="C130" s="116"/>
      <c r="D130" s="109"/>
      <c r="E130" s="109"/>
      <c r="F130" s="109"/>
      <c r="G130" s="109"/>
      <c r="H130" s="109"/>
    </row>
    <row r="131" spans="1:8" ht="12.5">
      <c r="A131" s="116"/>
      <c r="B131" s="116"/>
      <c r="C131" s="116"/>
      <c r="D131" s="109"/>
      <c r="E131" s="109"/>
      <c r="F131" s="109"/>
      <c r="G131" s="109"/>
      <c r="H131" s="109"/>
    </row>
    <row r="132" spans="1:8" ht="12.5">
      <c r="A132" s="116"/>
      <c r="B132" s="116"/>
      <c r="C132" s="116"/>
      <c r="D132" s="109"/>
      <c r="E132" s="109"/>
      <c r="F132" s="109"/>
      <c r="G132" s="109"/>
      <c r="H132" s="109"/>
    </row>
    <row r="133" spans="1:8" ht="12.5">
      <c r="A133" s="116"/>
      <c r="B133" s="116"/>
      <c r="C133" s="116"/>
      <c r="D133" s="109"/>
      <c r="E133" s="109"/>
      <c r="F133" s="109"/>
      <c r="G133" s="109"/>
      <c r="H133" s="109"/>
    </row>
    <row r="134" spans="1:8" ht="12.5">
      <c r="A134" s="116"/>
      <c r="B134" s="116"/>
      <c r="C134" s="116"/>
      <c r="D134" s="109"/>
      <c r="E134" s="109"/>
      <c r="F134" s="109"/>
      <c r="G134" s="109"/>
      <c r="H134" s="109"/>
    </row>
    <row r="135" spans="1:8" ht="12.5">
      <c r="A135" s="116"/>
      <c r="B135" s="116"/>
      <c r="C135" s="116"/>
      <c r="D135" s="109"/>
      <c r="E135" s="109"/>
      <c r="F135" s="109"/>
      <c r="G135" s="109"/>
      <c r="H135" s="109"/>
    </row>
    <row r="136" spans="1:8" ht="12.5">
      <c r="A136" s="116"/>
      <c r="B136" s="116"/>
      <c r="C136" s="116"/>
      <c r="D136" s="109"/>
      <c r="E136" s="109"/>
      <c r="F136" s="109"/>
      <c r="G136" s="109"/>
      <c r="H136" s="109"/>
    </row>
    <row r="137" spans="1:8" ht="12.5">
      <c r="A137" s="116"/>
      <c r="B137" s="116"/>
      <c r="C137" s="116"/>
      <c r="D137" s="109"/>
      <c r="E137" s="109"/>
      <c r="F137" s="109"/>
      <c r="G137" s="109"/>
      <c r="H137" s="109"/>
    </row>
    <row r="138" spans="1:8" ht="12.5">
      <c r="A138" s="116"/>
      <c r="B138" s="116"/>
      <c r="C138" s="116"/>
      <c r="D138" s="109"/>
      <c r="E138" s="109"/>
      <c r="F138" s="109"/>
      <c r="G138" s="109"/>
      <c r="H138" s="109"/>
    </row>
    <row r="139" spans="1:8" ht="12.5">
      <c r="A139" s="109"/>
      <c r="B139" s="109"/>
      <c r="C139" s="109"/>
      <c r="D139" s="109"/>
      <c r="E139" s="109"/>
      <c r="F139" s="109"/>
      <c r="G139" s="109"/>
      <c r="H139" s="109"/>
    </row>
    <row r="140" spans="1:8" ht="12.5">
      <c r="A140" s="109"/>
      <c r="B140" s="109"/>
      <c r="C140" s="109"/>
      <c r="D140" s="109"/>
      <c r="E140" s="109"/>
      <c r="F140" s="109"/>
      <c r="G140" s="109"/>
      <c r="H140" s="109"/>
    </row>
    <row r="141" spans="1:8" ht="12.5">
      <c r="A141" s="109"/>
      <c r="B141" s="109"/>
      <c r="C141" s="109"/>
      <c r="D141" s="109"/>
      <c r="E141" s="109"/>
      <c r="F141" s="109"/>
      <c r="G141" s="109"/>
      <c r="H141" s="109"/>
    </row>
    <row r="142" spans="1:8" ht="12.5">
      <c r="A142" s="109"/>
      <c r="B142" s="109"/>
      <c r="C142" s="109"/>
      <c r="D142" s="109"/>
      <c r="E142" s="109"/>
      <c r="F142" s="109"/>
      <c r="G142" s="109"/>
      <c r="H142" s="109"/>
    </row>
    <row r="143" spans="1:8" ht="12.5">
      <c r="A143" s="109"/>
      <c r="B143" s="109"/>
      <c r="C143" s="109"/>
      <c r="D143" s="109"/>
      <c r="E143" s="109"/>
      <c r="F143" s="109"/>
      <c r="G143" s="109"/>
      <c r="H143" s="109"/>
    </row>
    <row r="144" spans="1:8" ht="12.5">
      <c r="A144" s="109"/>
      <c r="B144" s="109"/>
      <c r="C144" s="109"/>
      <c r="D144" s="109"/>
      <c r="E144" s="109"/>
      <c r="F144" s="109"/>
      <c r="G144" s="109"/>
      <c r="H144" s="109"/>
    </row>
    <row r="145" spans="1:8" ht="12.5">
      <c r="A145" s="109"/>
      <c r="B145" s="109"/>
      <c r="C145" s="109"/>
      <c r="D145" s="109"/>
      <c r="E145" s="109"/>
      <c r="F145" s="109"/>
      <c r="G145" s="109"/>
      <c r="H145" s="109"/>
    </row>
    <row r="146" spans="1:8" ht="12.5">
      <c r="A146" s="109"/>
      <c r="B146" s="109"/>
      <c r="C146" s="109"/>
      <c r="D146" s="109"/>
      <c r="E146" s="109"/>
      <c r="F146" s="109"/>
      <c r="G146" s="109"/>
      <c r="H146" s="109"/>
    </row>
    <row r="147" spans="1:8" ht="12.5">
      <c r="A147" s="109"/>
      <c r="B147" s="109"/>
      <c r="C147" s="109"/>
      <c r="D147" s="109"/>
      <c r="E147" s="109"/>
      <c r="F147" s="109"/>
      <c r="G147" s="109"/>
      <c r="H147" s="109"/>
    </row>
    <row r="148" spans="1:8" ht="12.5">
      <c r="A148" s="109"/>
      <c r="B148" s="109"/>
      <c r="C148" s="109"/>
      <c r="D148" s="109"/>
      <c r="E148" s="109"/>
      <c r="F148" s="109"/>
      <c r="G148" s="109"/>
      <c r="H148" s="109"/>
    </row>
    <row r="149" spans="1:8" ht="12.5">
      <c r="A149" s="109"/>
      <c r="B149" s="109"/>
      <c r="C149" s="109"/>
      <c r="D149" s="109"/>
      <c r="E149" s="109"/>
      <c r="F149" s="109"/>
      <c r="G149" s="109"/>
      <c r="H149" s="109"/>
    </row>
    <row r="150" spans="1:8" ht="12.5">
      <c r="A150" s="109"/>
      <c r="B150" s="109"/>
      <c r="C150" s="109"/>
      <c r="D150" s="109"/>
      <c r="E150" s="109"/>
      <c r="F150" s="109"/>
      <c r="G150" s="109"/>
      <c r="H150" s="109"/>
    </row>
    <row r="151" spans="1:8" ht="12.5">
      <c r="A151" s="109"/>
      <c r="B151" s="109"/>
      <c r="C151" s="109"/>
      <c r="D151" s="109"/>
      <c r="E151" s="109"/>
      <c r="F151" s="109"/>
      <c r="G151" s="109"/>
      <c r="H151" s="109"/>
    </row>
    <row r="152" spans="1:8" ht="12.5">
      <c r="A152" s="109"/>
      <c r="B152" s="109"/>
      <c r="C152" s="109"/>
      <c r="D152" s="109"/>
      <c r="E152" s="109"/>
      <c r="F152" s="109"/>
      <c r="G152" s="109"/>
      <c r="H152" s="109"/>
    </row>
    <row r="153" spans="1:8" ht="12.5">
      <c r="A153" s="109"/>
      <c r="B153" s="109"/>
      <c r="C153" s="109"/>
      <c r="D153" s="109"/>
      <c r="E153" s="109"/>
      <c r="F153" s="109"/>
      <c r="G153" s="109"/>
      <c r="H153" s="109"/>
    </row>
    <row r="154" spans="1:8" ht="12.5">
      <c r="A154" s="109"/>
      <c r="B154" s="109"/>
      <c r="C154" s="109"/>
      <c r="D154" s="109"/>
      <c r="E154" s="109"/>
      <c r="F154" s="109"/>
      <c r="G154" s="109"/>
      <c r="H154" s="109"/>
    </row>
    <row r="155" spans="1:8" ht="12.5">
      <c r="A155" s="109"/>
      <c r="B155" s="109"/>
      <c r="C155" s="109"/>
      <c r="D155" s="109"/>
      <c r="E155" s="109"/>
      <c r="F155" s="109"/>
      <c r="G155" s="109"/>
      <c r="H155" s="109"/>
    </row>
    <row r="156" spans="1:8" ht="12.5">
      <c r="A156" s="109"/>
      <c r="B156" s="109"/>
      <c r="C156" s="109"/>
      <c r="D156" s="109"/>
      <c r="E156" s="109"/>
      <c r="F156" s="109"/>
      <c r="G156" s="109"/>
      <c r="H156" s="109"/>
    </row>
    <row r="157" spans="1:8" ht="12.5">
      <c r="A157" s="109"/>
      <c r="B157" s="109"/>
      <c r="C157" s="109"/>
      <c r="D157" s="109"/>
      <c r="E157" s="109"/>
      <c r="F157" s="109"/>
      <c r="G157" s="109"/>
      <c r="H157" s="109"/>
    </row>
    <row r="158" spans="1:8" ht="12.5">
      <c r="A158" s="109"/>
      <c r="B158" s="109"/>
      <c r="C158" s="109"/>
      <c r="D158" s="109"/>
      <c r="E158" s="109"/>
      <c r="F158" s="109"/>
      <c r="G158" s="109"/>
      <c r="H158" s="109"/>
    </row>
    <row r="159" spans="1:8" ht="12.5">
      <c r="A159" s="109"/>
      <c r="B159" s="109"/>
      <c r="C159" s="109"/>
      <c r="D159" s="109"/>
      <c r="E159" s="109"/>
      <c r="F159" s="109"/>
      <c r="G159" s="109"/>
      <c r="H159" s="109"/>
    </row>
    <row r="160" spans="1:8" ht="12.5">
      <c r="A160" s="109"/>
      <c r="B160" s="109"/>
      <c r="C160" s="109"/>
      <c r="D160" s="109"/>
      <c r="E160" s="109"/>
      <c r="F160" s="109"/>
      <c r="G160" s="109"/>
      <c r="H160" s="109"/>
    </row>
    <row r="161" spans="1:8" ht="12.5">
      <c r="A161" s="109"/>
      <c r="B161" s="109"/>
      <c r="C161" s="109"/>
      <c r="D161" s="109"/>
      <c r="E161" s="109"/>
      <c r="F161" s="109"/>
      <c r="G161" s="109"/>
      <c r="H161" s="109"/>
    </row>
    <row r="162" spans="1:8" ht="12.5">
      <c r="A162" s="109"/>
      <c r="B162" s="109"/>
      <c r="C162" s="109"/>
      <c r="D162" s="109"/>
      <c r="E162" s="109"/>
      <c r="F162" s="109"/>
      <c r="G162" s="109"/>
      <c r="H162" s="109"/>
    </row>
    <row r="163" spans="1:8" ht="12.5">
      <c r="A163" s="109"/>
      <c r="B163" s="109"/>
      <c r="C163" s="109"/>
      <c r="D163" s="109"/>
      <c r="E163" s="109"/>
      <c r="F163" s="109"/>
      <c r="G163" s="109"/>
      <c r="H163" s="109"/>
    </row>
    <row r="164" spans="1:8" ht="12.5">
      <c r="A164" s="109"/>
      <c r="B164" s="109"/>
      <c r="C164" s="109"/>
      <c r="D164" s="109"/>
      <c r="E164" s="109"/>
      <c r="F164" s="109"/>
      <c r="G164" s="109"/>
      <c r="H164" s="109"/>
    </row>
    <row r="165" spans="1:8" ht="12.5">
      <c r="A165" s="109"/>
      <c r="B165" s="109"/>
      <c r="C165" s="109"/>
      <c r="D165" s="109"/>
      <c r="E165" s="109"/>
      <c r="F165" s="109"/>
      <c r="G165" s="109"/>
      <c r="H165" s="109"/>
    </row>
    <row r="166" spans="1:8" ht="12.5">
      <c r="A166" s="109"/>
      <c r="B166" s="109"/>
      <c r="C166" s="109"/>
      <c r="D166" s="109"/>
      <c r="E166" s="109"/>
      <c r="F166" s="109"/>
      <c r="G166" s="109"/>
      <c r="H166" s="109"/>
    </row>
    <row r="167" spans="1:8" ht="12.5">
      <c r="A167" s="109"/>
      <c r="B167" s="109"/>
      <c r="C167" s="109"/>
      <c r="D167" s="109"/>
      <c r="E167" s="109"/>
      <c r="F167" s="109"/>
      <c r="G167" s="109"/>
      <c r="H167" s="109"/>
    </row>
    <row r="168" spans="1:8" ht="12.5">
      <c r="A168" s="109"/>
      <c r="B168" s="109"/>
      <c r="C168" s="109"/>
      <c r="D168" s="109"/>
      <c r="E168" s="109"/>
      <c r="F168" s="109"/>
      <c r="G168" s="109"/>
      <c r="H168" s="109"/>
    </row>
    <row r="169" spans="1:8" ht="12.5">
      <c r="A169" s="109"/>
      <c r="B169" s="109"/>
      <c r="C169" s="109"/>
      <c r="D169" s="109"/>
      <c r="E169" s="109"/>
      <c r="F169" s="109"/>
      <c r="G169" s="109"/>
      <c r="H169" s="109"/>
    </row>
    <row r="170" spans="1:8" ht="12.5">
      <c r="A170" s="109"/>
      <c r="B170" s="109"/>
      <c r="C170" s="109"/>
      <c r="D170" s="109"/>
      <c r="E170" s="109"/>
      <c r="F170" s="109"/>
      <c r="G170" s="109"/>
      <c r="H170" s="109"/>
    </row>
    <row r="171" spans="1:8" ht="12.5">
      <c r="A171" s="109"/>
      <c r="B171" s="109"/>
      <c r="C171" s="109"/>
      <c r="D171" s="109"/>
      <c r="E171" s="109"/>
      <c r="F171" s="109"/>
      <c r="G171" s="109"/>
      <c r="H171" s="109"/>
    </row>
    <row r="172" spans="1:8" ht="12.5">
      <c r="A172" s="109"/>
      <c r="B172" s="109"/>
      <c r="C172" s="109"/>
      <c r="D172" s="109"/>
      <c r="E172" s="109"/>
      <c r="F172" s="109"/>
      <c r="G172" s="109"/>
      <c r="H172" s="109"/>
    </row>
    <row r="173" spans="1:8" ht="12.5">
      <c r="A173" s="109"/>
      <c r="B173" s="109"/>
      <c r="C173" s="109"/>
      <c r="D173" s="109"/>
      <c r="E173" s="109"/>
      <c r="F173" s="109"/>
      <c r="G173" s="109"/>
      <c r="H173" s="109"/>
    </row>
    <row r="174" spans="1:8" ht="12.5">
      <c r="A174" s="109"/>
      <c r="B174" s="109"/>
      <c r="C174" s="109"/>
      <c r="D174" s="109"/>
      <c r="E174" s="109"/>
      <c r="F174" s="109"/>
      <c r="G174" s="109"/>
      <c r="H174" s="109"/>
    </row>
    <row r="175" spans="1:8" ht="12.5">
      <c r="A175" s="109"/>
      <c r="B175" s="109"/>
      <c r="C175" s="109"/>
      <c r="D175" s="109"/>
      <c r="E175" s="109"/>
      <c r="F175" s="109"/>
      <c r="G175" s="109"/>
      <c r="H175" s="109"/>
    </row>
    <row r="176" spans="1:8" ht="12.5">
      <c r="A176" s="109"/>
      <c r="B176" s="109"/>
      <c r="C176" s="109"/>
      <c r="D176" s="109"/>
      <c r="E176" s="109"/>
      <c r="F176" s="109"/>
      <c r="G176" s="109"/>
      <c r="H176" s="109"/>
    </row>
    <row r="177" spans="1:8" ht="12.5">
      <c r="A177" s="109"/>
      <c r="B177" s="109"/>
      <c r="C177" s="109"/>
      <c r="D177" s="109"/>
      <c r="E177" s="109"/>
      <c r="F177" s="109"/>
      <c r="G177" s="109"/>
      <c r="H177" s="109"/>
    </row>
    <row r="178" spans="1:8" ht="12.5">
      <c r="A178" s="109"/>
      <c r="B178" s="109"/>
      <c r="C178" s="109"/>
      <c r="D178" s="109"/>
      <c r="E178" s="109"/>
      <c r="F178" s="109"/>
      <c r="G178" s="109"/>
      <c r="H178" s="109"/>
    </row>
    <row r="179" spans="1:8" ht="12.5">
      <c r="A179" s="109"/>
      <c r="B179" s="109"/>
      <c r="C179" s="109"/>
      <c r="D179" s="109"/>
      <c r="E179" s="109"/>
      <c r="F179" s="109"/>
      <c r="G179" s="109"/>
      <c r="H179" s="109"/>
    </row>
    <row r="180" spans="1:8" ht="12.5">
      <c r="A180" s="109"/>
      <c r="B180" s="109"/>
      <c r="C180" s="109"/>
      <c r="D180" s="109"/>
      <c r="E180" s="109"/>
      <c r="F180" s="109"/>
      <c r="G180" s="109"/>
      <c r="H180" s="109"/>
    </row>
    <row r="181" spans="1:8" ht="12.5">
      <c r="A181" s="109"/>
      <c r="B181" s="109"/>
      <c r="C181" s="109"/>
      <c r="D181" s="109"/>
      <c r="E181" s="109"/>
      <c r="F181" s="109"/>
      <c r="G181" s="109"/>
      <c r="H181" s="109"/>
    </row>
    <row r="182" spans="1:8" ht="12.5">
      <c r="A182" s="109"/>
      <c r="B182" s="109"/>
      <c r="C182" s="109"/>
      <c r="D182" s="109"/>
      <c r="E182" s="109"/>
      <c r="F182" s="109"/>
      <c r="G182" s="109"/>
      <c r="H182" s="109"/>
    </row>
    <row r="183" spans="1:8" ht="12.5">
      <c r="A183" s="109"/>
      <c r="B183" s="109"/>
      <c r="C183" s="109"/>
      <c r="D183" s="109"/>
      <c r="E183" s="109"/>
      <c r="F183" s="109"/>
      <c r="G183" s="109"/>
      <c r="H183" s="109"/>
    </row>
    <row r="184" spans="1:8" ht="12.5">
      <c r="A184" s="109"/>
      <c r="B184" s="109"/>
      <c r="C184" s="109"/>
      <c r="D184" s="109"/>
      <c r="E184" s="109"/>
      <c r="F184" s="109"/>
      <c r="G184" s="109"/>
      <c r="H184" s="109"/>
    </row>
    <row r="185" spans="1:8" ht="12.5">
      <c r="A185" s="109"/>
      <c r="B185" s="109"/>
      <c r="C185" s="109"/>
      <c r="D185" s="109"/>
      <c r="E185" s="109"/>
      <c r="F185" s="109"/>
      <c r="G185" s="109"/>
      <c r="H185" s="109"/>
    </row>
    <row r="186" spans="1:8" ht="12.5">
      <c r="A186" s="109"/>
      <c r="B186" s="109"/>
      <c r="C186" s="109"/>
      <c r="D186" s="109"/>
      <c r="E186" s="109"/>
      <c r="F186" s="109"/>
      <c r="G186" s="109"/>
      <c r="H186" s="109"/>
    </row>
    <row r="187" spans="1:8" ht="12.5">
      <c r="A187" s="109"/>
      <c r="B187" s="109"/>
      <c r="C187" s="109"/>
      <c r="D187" s="109"/>
      <c r="E187" s="109"/>
      <c r="F187" s="109"/>
      <c r="G187" s="109"/>
      <c r="H187" s="109"/>
    </row>
    <row r="188" spans="1:8" ht="12.5">
      <c r="A188" s="109"/>
      <c r="B188" s="109"/>
      <c r="C188" s="109"/>
      <c r="D188" s="109"/>
      <c r="E188" s="109"/>
      <c r="F188" s="109"/>
      <c r="G188" s="109"/>
      <c r="H188" s="109"/>
    </row>
    <row r="189" spans="1:8" ht="12.5">
      <c r="A189" s="109"/>
      <c r="B189" s="109"/>
      <c r="C189" s="109"/>
      <c r="D189" s="109"/>
      <c r="E189" s="109"/>
      <c r="F189" s="109"/>
      <c r="G189" s="109"/>
      <c r="H189" s="109"/>
    </row>
    <row r="190" spans="1:8" ht="12.5">
      <c r="A190" s="109"/>
      <c r="B190" s="109"/>
      <c r="C190" s="109"/>
      <c r="D190" s="109"/>
      <c r="E190" s="109"/>
      <c r="F190" s="109"/>
      <c r="G190" s="109"/>
      <c r="H190" s="109"/>
    </row>
    <row r="191" spans="1:8" ht="12.5">
      <c r="A191" s="109"/>
      <c r="B191" s="109"/>
      <c r="C191" s="109"/>
      <c r="D191" s="109"/>
      <c r="E191" s="109"/>
      <c r="F191" s="109"/>
      <c r="G191" s="109"/>
      <c r="H191" s="109"/>
    </row>
    <row r="192" spans="1:8" ht="12.5">
      <c r="A192" s="109"/>
      <c r="B192" s="109"/>
      <c r="C192" s="109"/>
      <c r="D192" s="109"/>
      <c r="E192" s="109"/>
      <c r="F192" s="109"/>
      <c r="G192" s="109"/>
      <c r="H192" s="109"/>
    </row>
    <row r="193" spans="1:8" ht="12.5">
      <c r="A193" s="109"/>
      <c r="B193" s="109"/>
      <c r="C193" s="109"/>
      <c r="D193" s="109"/>
      <c r="E193" s="109"/>
      <c r="F193" s="109"/>
      <c r="G193" s="109"/>
      <c r="H193" s="109"/>
    </row>
    <row r="194" spans="1:8" ht="12.5">
      <c r="A194" s="109"/>
      <c r="B194" s="109"/>
      <c r="C194" s="109"/>
      <c r="D194" s="109"/>
      <c r="E194" s="109"/>
      <c r="F194" s="109"/>
      <c r="G194" s="109"/>
      <c r="H194" s="109"/>
    </row>
    <row r="195" spans="1:8" ht="12.5">
      <c r="A195" s="109"/>
      <c r="B195" s="109"/>
      <c r="C195" s="109"/>
      <c r="D195" s="109"/>
      <c r="E195" s="109"/>
      <c r="F195" s="109"/>
      <c r="G195" s="109"/>
      <c r="H195" s="109"/>
    </row>
    <row r="196" spans="1:8" ht="12.5">
      <c r="A196" s="109"/>
      <c r="B196" s="109"/>
      <c r="C196" s="109"/>
      <c r="D196" s="109"/>
      <c r="E196" s="109"/>
      <c r="F196" s="109"/>
      <c r="G196" s="109"/>
      <c r="H196" s="109"/>
    </row>
    <row r="197" spans="1:8" ht="12.5">
      <c r="A197" s="109"/>
      <c r="B197" s="109"/>
      <c r="C197" s="109"/>
      <c r="D197" s="109"/>
      <c r="E197" s="109"/>
      <c r="F197" s="109"/>
      <c r="G197" s="109"/>
      <c r="H197" s="109"/>
    </row>
    <row r="198" spans="1:8" ht="12.5">
      <c r="A198" s="109"/>
      <c r="B198" s="109"/>
      <c r="C198" s="109"/>
      <c r="D198" s="109"/>
      <c r="E198" s="109"/>
      <c r="F198" s="109"/>
      <c r="G198" s="109"/>
      <c r="H198" s="109"/>
    </row>
    <row r="199" spans="1:8" ht="12.5">
      <c r="A199" s="109"/>
      <c r="B199" s="109"/>
      <c r="C199" s="109"/>
      <c r="D199" s="109"/>
      <c r="E199" s="109"/>
      <c r="F199" s="109"/>
      <c r="G199" s="109"/>
      <c r="H199" s="109"/>
    </row>
    <row r="200" spans="1:8" ht="12.5">
      <c r="A200" s="109"/>
      <c r="B200" s="109"/>
      <c r="C200" s="109"/>
      <c r="D200" s="109"/>
      <c r="E200" s="109"/>
      <c r="F200" s="109"/>
      <c r="G200" s="109"/>
      <c r="H200" s="109"/>
    </row>
    <row r="201" spans="1:8" ht="12.5">
      <c r="A201" s="109"/>
      <c r="B201" s="109"/>
      <c r="C201" s="109"/>
      <c r="D201" s="109"/>
      <c r="E201" s="109"/>
      <c r="F201" s="109"/>
      <c r="G201" s="109"/>
      <c r="H201" s="109"/>
    </row>
    <row r="202" spans="1:8" ht="12.5">
      <c r="A202" s="109"/>
      <c r="B202" s="109"/>
      <c r="C202" s="109"/>
      <c r="D202" s="109"/>
      <c r="E202" s="109"/>
      <c r="F202" s="109"/>
      <c r="G202" s="109"/>
      <c r="H202" s="109"/>
    </row>
    <row r="203" spans="1:8" ht="12.5">
      <c r="A203" s="109"/>
      <c r="B203" s="109"/>
      <c r="C203" s="109"/>
      <c r="D203" s="109"/>
      <c r="E203" s="109"/>
      <c r="F203" s="109"/>
      <c r="G203" s="109"/>
      <c r="H203" s="109"/>
    </row>
    <row r="204" spans="1:8" ht="12.5">
      <c r="A204" s="109"/>
      <c r="B204" s="109"/>
      <c r="C204" s="109"/>
      <c r="D204" s="109"/>
      <c r="E204" s="109"/>
      <c r="F204" s="109"/>
      <c r="G204" s="109"/>
      <c r="H204" s="109"/>
    </row>
    <row r="205" spans="1:8" ht="12.5">
      <c r="A205" s="109"/>
      <c r="B205" s="109"/>
      <c r="C205" s="109"/>
      <c r="D205" s="109"/>
      <c r="E205" s="109"/>
      <c r="F205" s="109"/>
      <c r="G205" s="109"/>
      <c r="H205" s="109"/>
    </row>
    <row r="206" spans="1:8" ht="12.5">
      <c r="A206" s="109"/>
      <c r="B206" s="109"/>
      <c r="C206" s="109"/>
      <c r="D206" s="109"/>
      <c r="E206" s="109"/>
      <c r="F206" s="109"/>
      <c r="G206" s="109"/>
      <c r="H206" s="109"/>
    </row>
    <row r="207" spans="1:8" ht="12.5">
      <c r="A207" s="109"/>
      <c r="B207" s="109"/>
      <c r="C207" s="109"/>
      <c r="D207" s="109"/>
      <c r="E207" s="109"/>
      <c r="F207" s="109"/>
      <c r="G207" s="109"/>
      <c r="H207" s="109"/>
    </row>
    <row r="208" spans="1:8" ht="12.5">
      <c r="A208" s="109"/>
      <c r="B208" s="109"/>
      <c r="C208" s="109"/>
      <c r="D208" s="109"/>
      <c r="E208" s="109"/>
      <c r="F208" s="109"/>
      <c r="G208" s="109"/>
      <c r="H208" s="109"/>
    </row>
    <row r="209" spans="1:8" ht="12.5">
      <c r="A209" s="109"/>
      <c r="B209" s="109"/>
      <c r="C209" s="109"/>
      <c r="D209" s="109"/>
      <c r="E209" s="109"/>
      <c r="F209" s="109"/>
      <c r="G209" s="109"/>
      <c r="H209" s="109"/>
    </row>
    <row r="210" spans="1:8" ht="12.5">
      <c r="A210" s="109"/>
      <c r="B210" s="109"/>
      <c r="C210" s="109"/>
      <c r="D210" s="109"/>
      <c r="E210" s="109"/>
      <c r="F210" s="109"/>
      <c r="G210" s="109"/>
      <c r="H210" s="109"/>
    </row>
    <row r="211" spans="1:8" ht="12.5">
      <c r="A211" s="109"/>
      <c r="B211" s="109"/>
      <c r="C211" s="109"/>
      <c r="D211" s="109"/>
      <c r="E211" s="109"/>
      <c r="F211" s="109"/>
      <c r="G211" s="109"/>
      <c r="H211" s="109"/>
    </row>
    <row r="212" spans="1:8" ht="12.5">
      <c r="A212" s="109"/>
      <c r="B212" s="109"/>
      <c r="C212" s="109"/>
      <c r="D212" s="109"/>
      <c r="E212" s="109"/>
      <c r="F212" s="109"/>
      <c r="G212" s="109"/>
      <c r="H212" s="109"/>
    </row>
    <row r="213" spans="1:8" ht="12.5">
      <c r="A213" s="109"/>
      <c r="B213" s="109"/>
      <c r="C213" s="109"/>
      <c r="D213" s="109"/>
      <c r="E213" s="109"/>
      <c r="F213" s="109"/>
      <c r="G213" s="109"/>
      <c r="H213" s="109"/>
    </row>
    <row r="214" spans="1:8" ht="12.5">
      <c r="A214" s="109"/>
      <c r="B214" s="109"/>
      <c r="C214" s="109"/>
      <c r="D214" s="109"/>
      <c r="E214" s="109"/>
      <c r="F214" s="109"/>
      <c r="G214" s="109"/>
      <c r="H214" s="109"/>
    </row>
    <row r="215" spans="1:8" ht="12.5">
      <c r="A215" s="109"/>
      <c r="B215" s="109"/>
      <c r="C215" s="109"/>
      <c r="D215" s="109"/>
      <c r="E215" s="109"/>
      <c r="F215" s="109"/>
      <c r="G215" s="109"/>
      <c r="H215" s="109"/>
    </row>
    <row r="216" spans="1:8" ht="12.5">
      <c r="A216" s="109"/>
      <c r="B216" s="109"/>
      <c r="C216" s="109"/>
      <c r="D216" s="109"/>
      <c r="E216" s="109"/>
      <c r="F216" s="109"/>
      <c r="G216" s="109"/>
      <c r="H216" s="109"/>
    </row>
    <row r="217" spans="1:8" ht="12.5">
      <c r="A217" s="109"/>
      <c r="B217" s="109"/>
      <c r="C217" s="109"/>
      <c r="D217" s="109"/>
      <c r="E217" s="109"/>
      <c r="F217" s="109"/>
      <c r="G217" s="109"/>
      <c r="H217" s="109"/>
    </row>
    <row r="218" spans="1:8" ht="12.5">
      <c r="A218" s="109"/>
      <c r="B218" s="109"/>
      <c r="C218" s="109"/>
      <c r="D218" s="109"/>
      <c r="E218" s="109"/>
      <c r="F218" s="109"/>
      <c r="G218" s="109"/>
      <c r="H218" s="109"/>
    </row>
    <row r="219" spans="1:8" ht="12.5">
      <c r="A219" s="109"/>
      <c r="B219" s="109"/>
      <c r="C219" s="109"/>
      <c r="D219" s="109"/>
      <c r="E219" s="109"/>
      <c r="F219" s="109"/>
      <c r="G219" s="109"/>
      <c r="H219" s="109"/>
    </row>
    <row r="220" spans="1:8" ht="12.5">
      <c r="A220" s="109"/>
      <c r="B220" s="109"/>
      <c r="C220" s="109"/>
      <c r="D220" s="109"/>
      <c r="E220" s="109"/>
      <c r="F220" s="109"/>
      <c r="G220" s="109"/>
      <c r="H220" s="109"/>
    </row>
    <row r="221" spans="1:8" ht="12.5">
      <c r="A221" s="109"/>
      <c r="B221" s="109"/>
      <c r="C221" s="109"/>
      <c r="D221" s="109"/>
      <c r="E221" s="109"/>
      <c r="F221" s="109"/>
      <c r="G221" s="109"/>
      <c r="H221" s="109"/>
    </row>
    <row r="222" spans="1:8" ht="12.5">
      <c r="A222" s="109"/>
      <c r="B222" s="109"/>
      <c r="C222" s="109"/>
      <c r="D222" s="109"/>
      <c r="E222" s="109"/>
      <c r="F222" s="109"/>
      <c r="G222" s="109"/>
      <c r="H222" s="109"/>
    </row>
    <row r="223" spans="1:8" ht="12.5">
      <c r="A223" s="109"/>
      <c r="B223" s="109"/>
      <c r="C223" s="109"/>
      <c r="D223" s="109"/>
      <c r="E223" s="109"/>
      <c r="F223" s="109"/>
      <c r="G223" s="109"/>
      <c r="H223" s="109"/>
    </row>
    <row r="224" spans="1:8" ht="12.5">
      <c r="A224" s="109"/>
      <c r="B224" s="109"/>
      <c r="C224" s="109"/>
      <c r="D224" s="109"/>
      <c r="E224" s="109"/>
      <c r="F224" s="109"/>
      <c r="G224" s="109"/>
      <c r="H224" s="109"/>
    </row>
    <row r="225" spans="1:8" ht="12.5">
      <c r="A225" s="109"/>
      <c r="B225" s="109"/>
      <c r="C225" s="109"/>
      <c r="D225" s="109"/>
      <c r="E225" s="109"/>
      <c r="F225" s="109"/>
      <c r="G225" s="109"/>
      <c r="H225" s="109"/>
    </row>
    <row r="226" spans="1:8" ht="12.5">
      <c r="A226" s="109"/>
      <c r="B226" s="109"/>
      <c r="C226" s="109"/>
      <c r="D226" s="109"/>
      <c r="E226" s="109"/>
      <c r="F226" s="109"/>
      <c r="G226" s="109"/>
      <c r="H226" s="109"/>
    </row>
    <row r="227" spans="1:8" ht="12.5">
      <c r="A227" s="109"/>
      <c r="B227" s="109"/>
      <c r="C227" s="109"/>
      <c r="D227" s="109"/>
      <c r="E227" s="109"/>
      <c r="F227" s="109"/>
      <c r="G227" s="109"/>
      <c r="H227" s="109"/>
    </row>
    <row r="228" spans="1:8" ht="12.5">
      <c r="A228" s="109"/>
      <c r="B228" s="109"/>
      <c r="C228" s="109"/>
      <c r="D228" s="109"/>
      <c r="E228" s="109"/>
      <c r="F228" s="109"/>
      <c r="G228" s="109"/>
      <c r="H228" s="109"/>
    </row>
    <row r="229" spans="1:8" ht="12.5">
      <c r="A229" s="109"/>
      <c r="B229" s="109"/>
      <c r="C229" s="109"/>
      <c r="D229" s="109"/>
      <c r="E229" s="109"/>
      <c r="F229" s="109"/>
      <c r="G229" s="109"/>
      <c r="H229" s="109"/>
    </row>
    <row r="230" spans="1:8" ht="12.5">
      <c r="A230" s="109"/>
      <c r="B230" s="109"/>
      <c r="C230" s="109"/>
      <c r="D230" s="109"/>
      <c r="E230" s="109"/>
      <c r="F230" s="109"/>
      <c r="G230" s="109"/>
      <c r="H230" s="109"/>
    </row>
    <row r="231" spans="1:8" ht="12.5">
      <c r="A231" s="109"/>
      <c r="B231" s="109"/>
      <c r="C231" s="109"/>
      <c r="D231" s="109"/>
      <c r="E231" s="109"/>
      <c r="F231" s="109"/>
      <c r="G231" s="109"/>
      <c r="H231" s="109"/>
    </row>
    <row r="232" spans="1:8" ht="12.5">
      <c r="A232" s="109"/>
      <c r="B232" s="109"/>
      <c r="C232" s="109"/>
      <c r="D232" s="109"/>
      <c r="E232" s="109"/>
      <c r="F232" s="109"/>
      <c r="G232" s="109"/>
      <c r="H232" s="109"/>
    </row>
    <row r="233" spans="1:8" ht="12.5">
      <c r="A233" s="109"/>
      <c r="B233" s="109"/>
      <c r="C233" s="109"/>
      <c r="D233" s="109"/>
      <c r="E233" s="109"/>
      <c r="F233" s="109"/>
      <c r="G233" s="109"/>
      <c r="H233" s="109"/>
    </row>
    <row r="234" spans="1:8" ht="12.5">
      <c r="A234" s="109"/>
      <c r="B234" s="109"/>
      <c r="C234" s="109"/>
      <c r="D234" s="109"/>
      <c r="E234" s="109"/>
      <c r="F234" s="109"/>
      <c r="G234" s="109"/>
      <c r="H234" s="109"/>
    </row>
    <row r="235" spans="1:8" ht="12.5">
      <c r="A235" s="109"/>
      <c r="B235" s="109"/>
      <c r="C235" s="109"/>
      <c r="D235" s="109"/>
      <c r="E235" s="109"/>
      <c r="F235" s="109"/>
      <c r="G235" s="109"/>
      <c r="H235" s="109"/>
    </row>
    <row r="236" spans="1:8" ht="12.5">
      <c r="A236" s="109"/>
      <c r="B236" s="109"/>
      <c r="C236" s="109"/>
      <c r="D236" s="109"/>
      <c r="E236" s="109"/>
      <c r="F236" s="109"/>
      <c r="G236" s="109"/>
      <c r="H236" s="109"/>
    </row>
    <row r="237" spans="1:8" ht="12.5">
      <c r="A237" s="109"/>
      <c r="B237" s="109"/>
      <c r="C237" s="109"/>
      <c r="D237" s="109"/>
      <c r="E237" s="109"/>
      <c r="F237" s="109"/>
      <c r="G237" s="109"/>
      <c r="H237" s="109"/>
    </row>
    <row r="238" spans="1:8" ht="12.5">
      <c r="A238" s="109"/>
      <c r="B238" s="109"/>
      <c r="C238" s="109"/>
      <c r="D238" s="109"/>
      <c r="E238" s="109"/>
      <c r="F238" s="109"/>
      <c r="G238" s="109"/>
      <c r="H238" s="109"/>
    </row>
    <row r="239" spans="1:8" ht="12.5">
      <c r="A239" s="109"/>
      <c r="B239" s="109"/>
      <c r="C239" s="109"/>
      <c r="D239" s="109"/>
      <c r="E239" s="109"/>
      <c r="F239" s="109"/>
      <c r="G239" s="109"/>
      <c r="H239" s="109"/>
    </row>
    <row r="240" spans="1:8" ht="12.5">
      <c r="A240" s="109"/>
      <c r="B240" s="109"/>
      <c r="C240" s="109"/>
      <c r="D240" s="109"/>
      <c r="E240" s="109"/>
      <c r="F240" s="109"/>
      <c r="G240" s="109"/>
      <c r="H240" s="109"/>
    </row>
    <row r="241" spans="1:8" ht="12.5">
      <c r="A241" s="109"/>
      <c r="B241" s="109"/>
      <c r="C241" s="109"/>
      <c r="D241" s="109"/>
      <c r="E241" s="109"/>
      <c r="F241" s="109"/>
      <c r="G241" s="109"/>
      <c r="H241" s="109"/>
    </row>
    <row r="242" spans="1:8" ht="12.5">
      <c r="A242" s="109"/>
      <c r="B242" s="109"/>
      <c r="C242" s="109"/>
      <c r="D242" s="109"/>
      <c r="E242" s="109"/>
      <c r="F242" s="109"/>
      <c r="G242" s="109"/>
      <c r="H242" s="109"/>
    </row>
    <row r="243" spans="1:8" ht="12.5">
      <c r="A243" s="109"/>
      <c r="B243" s="109"/>
      <c r="C243" s="109"/>
      <c r="D243" s="109"/>
      <c r="E243" s="109"/>
      <c r="F243" s="109"/>
      <c r="G243" s="109"/>
      <c r="H243" s="109"/>
    </row>
    <row r="244" spans="1:8" ht="12.5">
      <c r="A244" s="109"/>
      <c r="B244" s="109"/>
      <c r="C244" s="109"/>
      <c r="D244" s="109"/>
      <c r="E244" s="109"/>
      <c r="F244" s="109"/>
      <c r="G244" s="109"/>
      <c r="H244" s="109"/>
    </row>
    <row r="245" spans="1:8" ht="12.5">
      <c r="A245" s="109"/>
      <c r="B245" s="109"/>
      <c r="C245" s="109"/>
      <c r="D245" s="109"/>
      <c r="E245" s="109"/>
      <c r="F245" s="109"/>
      <c r="G245" s="109"/>
      <c r="H245" s="109"/>
    </row>
    <row r="246" spans="1:8" ht="12.5">
      <c r="A246" s="109"/>
      <c r="B246" s="109"/>
      <c r="C246" s="109"/>
      <c r="D246" s="109"/>
      <c r="E246" s="109"/>
      <c r="F246" s="109"/>
      <c r="G246" s="109"/>
      <c r="H246" s="109"/>
    </row>
    <row r="247" spans="1:8" ht="12.5">
      <c r="A247" s="109"/>
      <c r="B247" s="109"/>
      <c r="C247" s="109"/>
      <c r="D247" s="109"/>
      <c r="E247" s="109"/>
      <c r="F247" s="109"/>
      <c r="G247" s="109"/>
      <c r="H247" s="109"/>
    </row>
    <row r="248" spans="1:8" ht="12.5">
      <c r="A248" s="109"/>
      <c r="B248" s="109"/>
      <c r="C248" s="109"/>
      <c r="D248" s="109"/>
      <c r="E248" s="109"/>
      <c r="F248" s="109"/>
      <c r="G248" s="109"/>
      <c r="H248" s="109"/>
    </row>
    <row r="249" spans="1:8" ht="12.5">
      <c r="A249" s="109"/>
      <c r="B249" s="109"/>
      <c r="C249" s="109"/>
      <c r="D249" s="109"/>
      <c r="E249" s="109"/>
      <c r="F249" s="109"/>
      <c r="G249" s="109"/>
      <c r="H249" s="109"/>
    </row>
    <row r="250" spans="1:8" ht="12.5">
      <c r="A250" s="109"/>
      <c r="B250" s="109"/>
      <c r="C250" s="109"/>
      <c r="D250" s="109"/>
      <c r="E250" s="109"/>
      <c r="F250" s="109"/>
      <c r="G250" s="109"/>
      <c r="H250" s="109"/>
    </row>
    <row r="251" spans="1:8" ht="12.5">
      <c r="A251" s="109"/>
      <c r="B251" s="109"/>
      <c r="C251" s="109"/>
      <c r="D251" s="109"/>
      <c r="E251" s="109"/>
      <c r="F251" s="109"/>
      <c r="G251" s="109"/>
      <c r="H251" s="109"/>
    </row>
    <row r="252" spans="1:8" ht="12.5">
      <c r="A252" s="109"/>
      <c r="B252" s="109"/>
      <c r="C252" s="109"/>
      <c r="D252" s="109"/>
      <c r="E252" s="109"/>
      <c r="F252" s="109"/>
      <c r="G252" s="109"/>
      <c r="H252" s="109"/>
    </row>
    <row r="253" spans="1:8" ht="12.5">
      <c r="A253" s="109"/>
      <c r="B253" s="109"/>
      <c r="C253" s="109"/>
      <c r="D253" s="109"/>
      <c r="E253" s="109"/>
      <c r="F253" s="109"/>
      <c r="G253" s="109"/>
      <c r="H253" s="109"/>
    </row>
    <row r="254" spans="1:8" ht="12.5">
      <c r="A254" s="109"/>
      <c r="B254" s="109"/>
      <c r="C254" s="109"/>
      <c r="D254" s="109"/>
      <c r="E254" s="109"/>
      <c r="F254" s="109"/>
      <c r="G254" s="109"/>
      <c r="H254" s="109"/>
    </row>
    <row r="255" spans="1:8" ht="12.5">
      <c r="A255" s="109"/>
      <c r="B255" s="109"/>
      <c r="C255" s="109"/>
      <c r="D255" s="109"/>
      <c r="E255" s="109"/>
      <c r="F255" s="109"/>
      <c r="G255" s="109"/>
      <c r="H255" s="109"/>
    </row>
    <row r="256" spans="1:8" ht="12.5">
      <c r="A256" s="109"/>
      <c r="B256" s="109"/>
      <c r="C256" s="109"/>
      <c r="D256" s="109"/>
      <c r="E256" s="109"/>
      <c r="F256" s="109"/>
      <c r="G256" s="109"/>
      <c r="H256" s="109"/>
    </row>
    <row r="257" spans="1:8" ht="12.5">
      <c r="A257" s="109"/>
      <c r="B257" s="109"/>
      <c r="C257" s="109"/>
      <c r="D257" s="109"/>
      <c r="E257" s="109"/>
      <c r="F257" s="109"/>
      <c r="G257" s="109"/>
      <c r="H257" s="109"/>
    </row>
    <row r="258" spans="1:8" ht="12.5">
      <c r="A258" s="109"/>
      <c r="B258" s="109"/>
      <c r="C258" s="109"/>
      <c r="D258" s="109"/>
      <c r="E258" s="109"/>
      <c r="F258" s="109"/>
      <c r="G258" s="109"/>
      <c r="H258" s="109"/>
    </row>
    <row r="259" spans="1:8" ht="12.5">
      <c r="A259" s="109"/>
      <c r="B259" s="109"/>
      <c r="C259" s="109"/>
      <c r="D259" s="109"/>
      <c r="E259" s="109"/>
      <c r="F259" s="109"/>
      <c r="G259" s="109"/>
      <c r="H259" s="109"/>
    </row>
    <row r="260" spans="1:8" ht="12.5">
      <c r="A260" s="109"/>
      <c r="B260" s="109"/>
      <c r="C260" s="109"/>
      <c r="D260" s="109"/>
      <c r="E260" s="109"/>
      <c r="F260" s="109"/>
      <c r="G260" s="109"/>
      <c r="H260" s="109"/>
    </row>
    <row r="261" spans="1:8" ht="12.5">
      <c r="A261" s="109"/>
      <c r="B261" s="109"/>
      <c r="C261" s="109"/>
      <c r="D261" s="109"/>
      <c r="E261" s="109"/>
      <c r="F261" s="109"/>
      <c r="G261" s="109"/>
      <c r="H261" s="109"/>
    </row>
    <row r="262" spans="1:8" ht="12.5">
      <c r="A262" s="109"/>
      <c r="B262" s="109"/>
      <c r="C262" s="109"/>
      <c r="D262" s="109"/>
      <c r="E262" s="109"/>
      <c r="F262" s="109"/>
      <c r="G262" s="109"/>
      <c r="H262" s="109"/>
    </row>
    <row r="263" spans="1:8" ht="12.5">
      <c r="A263" s="109"/>
      <c r="B263" s="109"/>
      <c r="C263" s="109"/>
      <c r="D263" s="109"/>
      <c r="E263" s="109"/>
      <c r="F263" s="109"/>
      <c r="G263" s="109"/>
      <c r="H263" s="109"/>
    </row>
    <row r="264" spans="1:8" ht="12.5">
      <c r="A264" s="109"/>
      <c r="B264" s="109"/>
      <c r="C264" s="109"/>
      <c r="D264" s="109"/>
      <c r="E264" s="109"/>
      <c r="F264" s="109"/>
      <c r="G264" s="109"/>
      <c r="H264" s="109"/>
    </row>
    <row r="265" spans="1:8" ht="12.5">
      <c r="A265" s="109"/>
      <c r="B265" s="109"/>
      <c r="C265" s="109"/>
      <c r="D265" s="109"/>
      <c r="E265" s="109"/>
      <c r="F265" s="109"/>
      <c r="G265" s="109"/>
      <c r="H265" s="109"/>
    </row>
    <row r="266" spans="1:8" ht="12.5">
      <c r="A266" s="109"/>
      <c r="B266" s="109"/>
      <c r="C266" s="109"/>
      <c r="D266" s="109"/>
      <c r="E266" s="109"/>
      <c r="F266" s="109"/>
      <c r="G266" s="109"/>
      <c r="H266" s="109"/>
    </row>
    <row r="267" spans="1:8" ht="12.5">
      <c r="A267" s="109"/>
      <c r="B267" s="109"/>
      <c r="C267" s="109"/>
      <c r="D267" s="109"/>
      <c r="E267" s="109"/>
      <c r="F267" s="109"/>
      <c r="G267" s="109"/>
      <c r="H267" s="109"/>
    </row>
    <row r="268" spans="1:8" ht="12.5">
      <c r="A268" s="109"/>
      <c r="B268" s="109"/>
      <c r="C268" s="109"/>
      <c r="D268" s="109"/>
      <c r="E268" s="109"/>
      <c r="F268" s="109"/>
      <c r="G268" s="109"/>
      <c r="H268" s="109"/>
    </row>
    <row r="269" spans="1:8" ht="12.5">
      <c r="A269" s="109"/>
      <c r="B269" s="109"/>
      <c r="C269" s="109"/>
      <c r="D269" s="109"/>
      <c r="E269" s="109"/>
      <c r="F269" s="109"/>
      <c r="G269" s="109"/>
      <c r="H269" s="109"/>
    </row>
    <row r="270" spans="1:8" ht="12.5">
      <c r="A270" s="109"/>
      <c r="B270" s="109"/>
      <c r="C270" s="109"/>
      <c r="D270" s="109"/>
      <c r="E270" s="109"/>
      <c r="F270" s="109"/>
      <c r="G270" s="109"/>
      <c r="H270" s="109"/>
    </row>
    <row r="271" spans="1:8" ht="12.5">
      <c r="A271" s="109"/>
      <c r="B271" s="109"/>
      <c r="C271" s="109"/>
      <c r="D271" s="109"/>
      <c r="E271" s="109"/>
      <c r="F271" s="109"/>
      <c r="G271" s="109"/>
      <c r="H271" s="109"/>
    </row>
    <row r="272" spans="1:8" ht="12.5">
      <c r="A272" s="109"/>
      <c r="B272" s="109"/>
      <c r="C272" s="109"/>
      <c r="D272" s="109"/>
      <c r="E272" s="109"/>
      <c r="F272" s="109"/>
      <c r="G272" s="109"/>
      <c r="H272" s="109"/>
    </row>
    <row r="273" spans="1:8" ht="12.5">
      <c r="A273" s="109"/>
      <c r="B273" s="109"/>
      <c r="C273" s="109"/>
      <c r="D273" s="109"/>
      <c r="E273" s="109"/>
      <c r="F273" s="109"/>
      <c r="G273" s="109"/>
      <c r="H273" s="109"/>
    </row>
    <row r="274" spans="1:8" ht="12.5">
      <c r="A274" s="109"/>
      <c r="B274" s="109"/>
      <c r="C274" s="109"/>
      <c r="D274" s="109"/>
      <c r="E274" s="109"/>
      <c r="F274" s="109"/>
      <c r="G274" s="109"/>
      <c r="H274" s="109"/>
    </row>
    <row r="275" spans="1:8" ht="12.5">
      <c r="A275" s="109"/>
      <c r="B275" s="109"/>
      <c r="C275" s="109"/>
      <c r="D275" s="109"/>
      <c r="E275" s="109"/>
      <c r="F275" s="109"/>
      <c r="G275" s="109"/>
      <c r="H275" s="109"/>
    </row>
    <row r="276" spans="1:8" ht="12.5">
      <c r="A276" s="109"/>
      <c r="B276" s="109"/>
      <c r="C276" s="109"/>
      <c r="D276" s="109"/>
      <c r="E276" s="109"/>
      <c r="F276" s="109"/>
      <c r="G276" s="109"/>
      <c r="H276" s="109"/>
    </row>
    <row r="277" spans="1:8" ht="12.5">
      <c r="A277" s="109"/>
      <c r="B277" s="109"/>
      <c r="C277" s="109"/>
      <c r="D277" s="109"/>
      <c r="E277" s="109"/>
      <c r="F277" s="109"/>
      <c r="G277" s="109"/>
      <c r="H277" s="109"/>
    </row>
    <row r="278" spans="1:8" ht="12.5">
      <c r="A278" s="109"/>
      <c r="B278" s="109"/>
      <c r="C278" s="109"/>
      <c r="D278" s="109"/>
      <c r="E278" s="109"/>
      <c r="F278" s="109"/>
      <c r="G278" s="109"/>
      <c r="H278" s="109"/>
    </row>
    <row r="279" spans="1:8" ht="12.5">
      <c r="A279" s="109"/>
      <c r="B279" s="109"/>
      <c r="C279" s="109"/>
      <c r="D279" s="109"/>
      <c r="E279" s="109"/>
      <c r="F279" s="109"/>
      <c r="G279" s="109"/>
      <c r="H279" s="109"/>
    </row>
    <row r="280" spans="1:8" ht="12.5">
      <c r="A280" s="109"/>
      <c r="B280" s="109"/>
      <c r="C280" s="109"/>
      <c r="D280" s="109"/>
      <c r="E280" s="109"/>
      <c r="F280" s="109"/>
      <c r="G280" s="109"/>
      <c r="H280" s="109"/>
    </row>
    <row r="281" spans="1:8" ht="12.5">
      <c r="A281" s="109"/>
      <c r="B281" s="109"/>
      <c r="C281" s="109"/>
      <c r="D281" s="109"/>
      <c r="E281" s="109"/>
      <c r="F281" s="109"/>
      <c r="G281" s="109"/>
      <c r="H281" s="109"/>
    </row>
    <row r="282" spans="1:8" ht="12.5">
      <c r="A282" s="109"/>
      <c r="B282" s="109"/>
      <c r="C282" s="109"/>
      <c r="D282" s="109"/>
      <c r="E282" s="109"/>
      <c r="F282" s="109"/>
      <c r="G282" s="109"/>
      <c r="H282" s="109"/>
    </row>
    <row r="283" spans="1:8" ht="12.5">
      <c r="A283" s="109"/>
      <c r="B283" s="109"/>
      <c r="C283" s="109"/>
      <c r="D283" s="109"/>
      <c r="E283" s="109"/>
      <c r="F283" s="109"/>
      <c r="G283" s="109"/>
      <c r="H283" s="109"/>
    </row>
    <row r="284" spans="1:8" ht="12.5">
      <c r="A284" s="109"/>
      <c r="B284" s="109"/>
      <c r="C284" s="109"/>
      <c r="D284" s="109"/>
      <c r="E284" s="109"/>
      <c r="F284" s="109"/>
      <c r="G284" s="109"/>
      <c r="H284" s="109"/>
    </row>
    <row r="285" spans="1:8" ht="12.5">
      <c r="A285" s="109"/>
      <c r="B285" s="109"/>
      <c r="C285" s="109"/>
      <c r="D285" s="109"/>
      <c r="E285" s="109"/>
      <c r="F285" s="109"/>
      <c r="G285" s="109"/>
      <c r="H285" s="109"/>
    </row>
    <row r="286" spans="1:8" ht="12.5">
      <c r="A286" s="109"/>
      <c r="B286" s="109"/>
      <c r="C286" s="109"/>
      <c r="D286" s="109"/>
      <c r="E286" s="109"/>
      <c r="F286" s="109"/>
      <c r="G286" s="109"/>
      <c r="H286" s="109"/>
    </row>
    <row r="287" spans="1:8" ht="12.5">
      <c r="A287" s="109"/>
      <c r="B287" s="109"/>
      <c r="C287" s="109"/>
      <c r="D287" s="109"/>
      <c r="E287" s="109"/>
      <c r="F287" s="109"/>
      <c r="G287" s="109"/>
      <c r="H287" s="109"/>
    </row>
    <row r="288" spans="1:8" ht="12.5">
      <c r="A288" s="109"/>
      <c r="B288" s="109"/>
      <c r="C288" s="109"/>
      <c r="D288" s="109"/>
      <c r="E288" s="109"/>
      <c r="F288" s="109"/>
      <c r="G288" s="109"/>
      <c r="H288" s="109"/>
    </row>
    <row r="289" spans="1:8" ht="12.5">
      <c r="A289" s="109"/>
      <c r="B289" s="109"/>
      <c r="C289" s="109"/>
      <c r="D289" s="109"/>
      <c r="E289" s="109"/>
      <c r="F289" s="109"/>
      <c r="G289" s="109"/>
      <c r="H289" s="109"/>
    </row>
    <row r="290" spans="1:8" ht="12.5">
      <c r="A290" s="109"/>
      <c r="B290" s="109"/>
      <c r="C290" s="109"/>
      <c r="D290" s="109"/>
      <c r="E290" s="109"/>
      <c r="F290" s="109"/>
      <c r="G290" s="109"/>
      <c r="H290" s="109"/>
    </row>
    <row r="291" spans="1:8" ht="12.5">
      <c r="A291" s="109"/>
      <c r="B291" s="109"/>
      <c r="C291" s="109"/>
      <c r="D291" s="109"/>
      <c r="E291" s="109"/>
      <c r="F291" s="109"/>
      <c r="G291" s="109"/>
      <c r="H291" s="109"/>
    </row>
    <row r="292" spans="1:8" ht="12.5">
      <c r="A292" s="109"/>
      <c r="B292" s="109"/>
      <c r="C292" s="109"/>
      <c r="D292" s="109"/>
      <c r="E292" s="109"/>
      <c r="F292" s="109"/>
      <c r="G292" s="109"/>
      <c r="H292" s="109"/>
    </row>
    <row r="293" spans="1:8" ht="12.5">
      <c r="A293" s="109"/>
      <c r="B293" s="109"/>
      <c r="C293" s="109"/>
      <c r="D293" s="109"/>
      <c r="E293" s="109"/>
      <c r="F293" s="109"/>
      <c r="G293" s="109"/>
      <c r="H293" s="109"/>
    </row>
    <row r="294" spans="1:8" ht="12.5">
      <c r="A294" s="109"/>
      <c r="B294" s="109"/>
      <c r="C294" s="109"/>
      <c r="D294" s="109"/>
      <c r="E294" s="109"/>
      <c r="F294" s="109"/>
      <c r="G294" s="109"/>
      <c r="H294" s="109"/>
    </row>
    <row r="295" spans="1:8" ht="12.5">
      <c r="A295" s="109"/>
      <c r="B295" s="109"/>
      <c r="C295" s="109"/>
      <c r="D295" s="109"/>
      <c r="E295" s="109"/>
      <c r="F295" s="109"/>
      <c r="G295" s="109"/>
      <c r="H295" s="109"/>
    </row>
    <row r="296" spans="1:8" ht="12.5">
      <c r="A296" s="109"/>
      <c r="B296" s="109"/>
      <c r="C296" s="109"/>
      <c r="D296" s="109"/>
      <c r="E296" s="109"/>
      <c r="F296" s="109"/>
      <c r="G296" s="109"/>
      <c r="H296" s="109"/>
    </row>
    <row r="297" spans="1:8" ht="12.5">
      <c r="A297" s="109"/>
      <c r="B297" s="109"/>
      <c r="C297" s="109"/>
      <c r="D297" s="109"/>
      <c r="E297" s="109"/>
      <c r="F297" s="109"/>
      <c r="G297" s="109"/>
      <c r="H297" s="109"/>
    </row>
    <row r="298" spans="1:8" ht="12.5">
      <c r="A298" s="109"/>
      <c r="B298" s="109"/>
      <c r="C298" s="109"/>
      <c r="D298" s="109"/>
      <c r="E298" s="109"/>
      <c r="F298" s="109"/>
      <c r="G298" s="109"/>
      <c r="H298" s="109"/>
    </row>
    <row r="299" spans="1:8" ht="12.5">
      <c r="A299" s="109"/>
      <c r="B299" s="109"/>
      <c r="C299" s="109"/>
      <c r="D299" s="109"/>
      <c r="E299" s="109"/>
      <c r="F299" s="109"/>
      <c r="G299" s="109"/>
      <c r="H299" s="109"/>
    </row>
    <row r="300" spans="1:8" ht="12.5">
      <c r="A300" s="109"/>
      <c r="B300" s="109"/>
      <c r="C300" s="109"/>
      <c r="D300" s="109"/>
      <c r="E300" s="109"/>
      <c r="F300" s="109"/>
      <c r="G300" s="109"/>
      <c r="H300" s="109"/>
    </row>
    <row r="301" spans="1:8" ht="12.5">
      <c r="A301" s="109"/>
      <c r="B301" s="109"/>
      <c r="C301" s="109"/>
      <c r="D301" s="109"/>
      <c r="E301" s="109"/>
      <c r="F301" s="109"/>
      <c r="G301" s="109"/>
      <c r="H301" s="109"/>
    </row>
    <row r="302" spans="1:8" ht="12.5">
      <c r="A302" s="109"/>
      <c r="B302" s="109"/>
      <c r="C302" s="109"/>
      <c r="D302" s="109"/>
      <c r="E302" s="109"/>
      <c r="F302" s="109"/>
      <c r="G302" s="109"/>
      <c r="H302" s="109"/>
    </row>
    <row r="303" spans="1:8" ht="12.5">
      <c r="A303" s="109"/>
      <c r="B303" s="109"/>
      <c r="C303" s="109"/>
      <c r="D303" s="109"/>
      <c r="E303" s="109"/>
      <c r="F303" s="109"/>
      <c r="G303" s="109"/>
      <c r="H303" s="109"/>
    </row>
    <row r="304" spans="1:8" ht="12.5">
      <c r="A304" s="109"/>
      <c r="B304" s="109"/>
      <c r="C304" s="109"/>
      <c r="D304" s="109"/>
      <c r="E304" s="109"/>
      <c r="F304" s="109"/>
      <c r="G304" s="109"/>
      <c r="H304" s="109"/>
    </row>
    <row r="305" spans="1:8" ht="12.5">
      <c r="A305" s="109"/>
      <c r="B305" s="109"/>
      <c r="C305" s="109"/>
      <c r="D305" s="109"/>
      <c r="E305" s="109"/>
      <c r="F305" s="109"/>
      <c r="G305" s="109"/>
      <c r="H305" s="109"/>
    </row>
    <row r="306" spans="1:8" ht="12.5">
      <c r="A306" s="109"/>
      <c r="B306" s="109"/>
      <c r="C306" s="109"/>
      <c r="D306" s="109"/>
      <c r="E306" s="109"/>
      <c r="F306" s="109"/>
      <c r="G306" s="109"/>
      <c r="H306" s="109"/>
    </row>
    <row r="307" spans="1:8" ht="12.5">
      <c r="A307" s="109"/>
      <c r="B307" s="109"/>
      <c r="C307" s="109"/>
      <c r="D307" s="109"/>
      <c r="E307" s="109"/>
      <c r="F307" s="109"/>
      <c r="G307" s="109"/>
      <c r="H307" s="109"/>
    </row>
    <row r="308" spans="1:8" ht="12.5">
      <c r="A308" s="109"/>
      <c r="B308" s="109"/>
      <c r="C308" s="109"/>
      <c r="D308" s="109"/>
      <c r="E308" s="109"/>
      <c r="F308" s="109"/>
      <c r="G308" s="109"/>
      <c r="H308" s="109"/>
    </row>
    <row r="309" spans="1:8" ht="12.5">
      <c r="A309" s="109"/>
      <c r="B309" s="109"/>
      <c r="C309" s="109"/>
      <c r="D309" s="109"/>
      <c r="E309" s="109"/>
      <c r="F309" s="109"/>
      <c r="G309" s="109"/>
      <c r="H309" s="109"/>
    </row>
    <row r="310" spans="1:8" ht="12.5">
      <c r="A310" s="109"/>
      <c r="B310" s="109"/>
      <c r="C310" s="109"/>
      <c r="D310" s="109"/>
      <c r="E310" s="109"/>
      <c r="F310" s="109"/>
      <c r="G310" s="109"/>
      <c r="H310" s="109"/>
    </row>
    <row r="311" spans="1:8" ht="12.5">
      <c r="A311" s="109"/>
      <c r="B311" s="109"/>
      <c r="C311" s="109"/>
      <c r="D311" s="109"/>
      <c r="E311" s="109"/>
      <c r="F311" s="109"/>
      <c r="G311" s="109"/>
      <c r="H311" s="109"/>
    </row>
    <row r="312" spans="1:8" ht="12.5">
      <c r="A312" s="109"/>
      <c r="B312" s="109"/>
      <c r="C312" s="109"/>
      <c r="D312" s="109"/>
      <c r="E312" s="109"/>
      <c r="F312" s="109"/>
      <c r="G312" s="109"/>
      <c r="H312" s="109"/>
    </row>
    <row r="313" spans="1:8" ht="12.5">
      <c r="A313" s="109"/>
      <c r="B313" s="109"/>
      <c r="C313" s="109"/>
      <c r="D313" s="109"/>
      <c r="E313" s="109"/>
      <c r="F313" s="109"/>
      <c r="G313" s="109"/>
      <c r="H313" s="109"/>
    </row>
    <row r="314" spans="1:8" ht="12.5">
      <c r="A314" s="109"/>
      <c r="B314" s="109"/>
      <c r="C314" s="109"/>
      <c r="D314" s="109"/>
      <c r="E314" s="109"/>
      <c r="F314" s="109"/>
      <c r="G314" s="109"/>
      <c r="H314" s="109"/>
    </row>
    <row r="315" spans="1:8" ht="12.5">
      <c r="A315" s="109"/>
      <c r="B315" s="109"/>
      <c r="C315" s="109"/>
      <c r="D315" s="109"/>
      <c r="E315" s="109"/>
      <c r="F315" s="109"/>
      <c r="G315" s="109"/>
      <c r="H315" s="109"/>
    </row>
    <row r="316" spans="1:8" ht="12.5">
      <c r="A316" s="109"/>
      <c r="B316" s="109"/>
      <c r="C316" s="109"/>
      <c r="D316" s="109"/>
      <c r="E316" s="109"/>
      <c r="F316" s="109"/>
      <c r="G316" s="109"/>
      <c r="H316" s="109"/>
    </row>
    <row r="317" spans="1:8" ht="12.5">
      <c r="A317" s="109"/>
      <c r="B317" s="109"/>
      <c r="C317" s="109"/>
      <c r="D317" s="109"/>
      <c r="E317" s="109"/>
      <c r="F317" s="109"/>
      <c r="G317" s="109"/>
      <c r="H317" s="109"/>
    </row>
    <row r="318" spans="1:8" ht="12.5">
      <c r="A318" s="109"/>
      <c r="B318" s="109"/>
      <c r="C318" s="109"/>
      <c r="D318" s="109"/>
      <c r="E318" s="109"/>
      <c r="F318" s="109"/>
      <c r="G318" s="109"/>
      <c r="H318" s="109"/>
    </row>
    <row r="319" spans="1:8" ht="12.5">
      <c r="A319" s="109"/>
      <c r="B319" s="109"/>
      <c r="C319" s="109"/>
      <c r="D319" s="109"/>
      <c r="E319" s="109"/>
      <c r="F319" s="109"/>
      <c r="G319" s="109"/>
      <c r="H319" s="109"/>
    </row>
    <row r="320" spans="1:8" ht="12.5">
      <c r="A320" s="109"/>
      <c r="B320" s="109"/>
      <c r="C320" s="109"/>
      <c r="D320" s="109"/>
      <c r="E320" s="109"/>
      <c r="F320" s="109"/>
      <c r="G320" s="109"/>
      <c r="H320" s="109"/>
    </row>
    <row r="321" spans="1:8" ht="12.5">
      <c r="A321" s="109"/>
      <c r="B321" s="109"/>
      <c r="C321" s="109"/>
      <c r="D321" s="109"/>
      <c r="E321" s="109"/>
      <c r="F321" s="109"/>
      <c r="G321" s="109"/>
      <c r="H321" s="109"/>
    </row>
    <row r="322" spans="1:8" ht="12.5">
      <c r="A322" s="109"/>
      <c r="B322" s="109"/>
      <c r="C322" s="109"/>
      <c r="D322" s="109"/>
      <c r="E322" s="109"/>
      <c r="F322" s="109"/>
      <c r="G322" s="109"/>
      <c r="H322" s="109"/>
    </row>
    <row r="323" spans="1:8" ht="12.5">
      <c r="A323" s="109"/>
      <c r="B323" s="109"/>
      <c r="C323" s="109"/>
      <c r="D323" s="109"/>
      <c r="E323" s="109"/>
      <c r="F323" s="109"/>
      <c r="G323" s="109"/>
      <c r="H323" s="109"/>
    </row>
    <row r="324" spans="1:8" ht="12.5">
      <c r="A324" s="109"/>
      <c r="B324" s="109"/>
      <c r="C324" s="109"/>
      <c r="D324" s="109"/>
      <c r="E324" s="109"/>
      <c r="F324" s="109"/>
      <c r="G324" s="109"/>
      <c r="H324" s="109"/>
    </row>
    <row r="325" spans="1:8" ht="12.5">
      <c r="A325" s="109"/>
      <c r="B325" s="109"/>
      <c r="C325" s="109"/>
      <c r="D325" s="109"/>
      <c r="E325" s="109"/>
      <c r="F325" s="109"/>
      <c r="G325" s="109"/>
      <c r="H325" s="109"/>
    </row>
    <row r="326" spans="1:8" ht="12.5">
      <c r="A326" s="109"/>
      <c r="B326" s="109"/>
      <c r="C326" s="109"/>
      <c r="D326" s="109"/>
      <c r="E326" s="109"/>
      <c r="F326" s="109"/>
      <c r="G326" s="109"/>
      <c r="H326" s="109"/>
    </row>
    <row r="327" spans="1:8" ht="12.5">
      <c r="A327" s="109"/>
      <c r="B327" s="109"/>
      <c r="C327" s="109"/>
      <c r="D327" s="109"/>
      <c r="E327" s="109"/>
      <c r="F327" s="109"/>
      <c r="G327" s="109"/>
      <c r="H327" s="109"/>
    </row>
    <row r="328" spans="1:8" ht="12.5">
      <c r="A328" s="109"/>
      <c r="B328" s="109"/>
      <c r="C328" s="109"/>
      <c r="D328" s="109"/>
      <c r="E328" s="109"/>
      <c r="F328" s="109"/>
      <c r="G328" s="109"/>
      <c r="H328" s="109"/>
    </row>
    <row r="329" spans="1:8" ht="12.5">
      <c r="A329" s="109"/>
      <c r="B329" s="109"/>
      <c r="C329" s="109"/>
      <c r="D329" s="109"/>
      <c r="E329" s="109"/>
      <c r="F329" s="109"/>
      <c r="G329" s="109"/>
      <c r="H329" s="109"/>
    </row>
    <row r="330" spans="1:8" ht="12.5">
      <c r="A330" s="109"/>
      <c r="B330" s="109"/>
      <c r="C330" s="109"/>
      <c r="D330" s="109"/>
      <c r="E330" s="109"/>
      <c r="F330" s="109"/>
      <c r="G330" s="109"/>
      <c r="H330" s="109"/>
    </row>
    <row r="331" spans="1:8" ht="12.5">
      <c r="A331" s="109"/>
      <c r="B331" s="109"/>
      <c r="C331" s="109"/>
      <c r="D331" s="109"/>
      <c r="E331" s="109"/>
      <c r="F331" s="109"/>
      <c r="G331" s="109"/>
      <c r="H331" s="109"/>
    </row>
    <row r="332" spans="1:8" ht="12.5">
      <c r="A332" s="109"/>
      <c r="B332" s="109"/>
      <c r="C332" s="109"/>
      <c r="D332" s="109"/>
      <c r="E332" s="109"/>
      <c r="F332" s="109"/>
      <c r="G332" s="109"/>
      <c r="H332" s="109"/>
    </row>
    <row r="333" spans="1:8" ht="12.5">
      <c r="A333" s="109"/>
      <c r="B333" s="109"/>
      <c r="C333" s="109"/>
      <c r="D333" s="109"/>
      <c r="E333" s="109"/>
      <c r="F333" s="109"/>
      <c r="G333" s="109"/>
      <c r="H333" s="109"/>
    </row>
    <row r="334" spans="1:8" ht="12.5">
      <c r="A334" s="109"/>
      <c r="B334" s="109"/>
      <c r="C334" s="109"/>
      <c r="D334" s="109"/>
      <c r="E334" s="109"/>
      <c r="F334" s="109"/>
      <c r="G334" s="109"/>
      <c r="H334" s="109"/>
    </row>
    <row r="335" spans="1:8" ht="12.5">
      <c r="A335" s="109"/>
      <c r="B335" s="109"/>
      <c r="C335" s="109"/>
      <c r="D335" s="109"/>
      <c r="E335" s="109"/>
      <c r="F335" s="109"/>
      <c r="G335" s="109"/>
      <c r="H335" s="109"/>
    </row>
    <row r="336" spans="1:8" ht="12.5">
      <c r="A336" s="109"/>
      <c r="B336" s="109"/>
      <c r="C336" s="109"/>
      <c r="D336" s="109"/>
      <c r="E336" s="109"/>
      <c r="F336" s="109"/>
      <c r="G336" s="109"/>
      <c r="H336" s="109"/>
    </row>
    <row r="337" spans="1:8" ht="12.5">
      <c r="A337" s="109"/>
      <c r="B337" s="109"/>
      <c r="C337" s="109"/>
      <c r="D337" s="109"/>
      <c r="E337" s="109"/>
      <c r="F337" s="109"/>
      <c r="G337" s="109"/>
      <c r="H337" s="109"/>
    </row>
    <row r="338" spans="1:8" ht="12.5">
      <c r="A338" s="109"/>
      <c r="B338" s="109"/>
      <c r="C338" s="109"/>
      <c r="D338" s="109"/>
      <c r="E338" s="109"/>
      <c r="F338" s="109"/>
      <c r="G338" s="109"/>
      <c r="H338" s="109"/>
    </row>
  </sheetData>
  <autoFilter ref="A5:H138" xr:uid="{00000000-0009-0000-0000-00002C000000}"/>
  <dataValidations count="1">
    <dataValidation type="list" allowBlank="1" showInputMessage="1" showErrorMessage="1" sqref="F6" xr:uid="{00000000-0002-0000-2C00-000000000000}">
      <formula1>"yes,no"</formula1>
    </dataValidation>
  </dataValidations>
  <pageMargins left="0.7" right="0.7" top="0.75" bottom="0.75" header="0.3" footer="0.3"/>
  <pageSetup orientation="portrait"/>
  <customProperties>
    <customPr name="MMSheetType"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outlinePr summaryBelow="0" summaryRight="0"/>
  </sheetPr>
  <dimension ref="A1:D145"/>
  <sheetViews>
    <sheetView showGridLines="0" zoomScale="90" workbookViewId="0">
      <selection activeCell="B32" sqref="B32"/>
    </sheetView>
  </sheetViews>
  <sheetFormatPr defaultColWidth="0" defaultRowHeight="10" zeroHeight="1"/>
  <cols>
    <col min="1" max="1" width="30.77734375" customWidth="1"/>
    <col min="2" max="2" width="20.44140625" customWidth="1"/>
    <col min="3" max="3" width="139.44140625" customWidth="1"/>
    <col min="4" max="4" width="8.77734375" customWidth="1"/>
    <col min="5" max="13" width="8.77734375" hidden="1" customWidth="1"/>
    <col min="14" max="16384" width="8.77734375" hidden="1"/>
  </cols>
  <sheetData>
    <row r="1" spans="1:3"/>
    <row r="2" spans="1:3"/>
    <row r="3" spans="1:3"/>
    <row r="4" spans="1:3"/>
    <row r="5" spans="1:3"/>
    <row r="6" spans="1:3"/>
    <row r="7" spans="1:3"/>
    <row r="8" spans="1:3"/>
    <row r="9" spans="1:3" ht="17.5">
      <c r="A9" s="282" t="s">
        <v>116</v>
      </c>
      <c r="B9" s="103"/>
      <c r="C9" s="103"/>
    </row>
    <row r="10" spans="1:3" ht="10.5">
      <c r="A10" s="103"/>
      <c r="B10" s="103"/>
      <c r="C10" s="103"/>
    </row>
    <row r="11" spans="1:3" ht="10.5">
      <c r="A11" s="103"/>
      <c r="B11" s="103"/>
      <c r="C11" s="103"/>
    </row>
    <row r="12" spans="1:3" ht="15.5">
      <c r="A12" s="171" t="s">
        <v>272</v>
      </c>
      <c r="B12" s="198">
        <v>14000</v>
      </c>
      <c r="C12" s="198">
        <v>14000</v>
      </c>
    </row>
    <row r="13" spans="1:3" ht="15.5">
      <c r="A13" s="171" t="s">
        <v>117</v>
      </c>
      <c r="B13" s="187">
        <v>0.2</v>
      </c>
      <c r="C13" s="187">
        <v>0.2</v>
      </c>
    </row>
    <row r="14" spans="1:3" ht="15.5">
      <c r="A14" s="171" t="s">
        <v>273</v>
      </c>
      <c r="B14" s="193">
        <v>14000</v>
      </c>
      <c r="C14" s="193">
        <v>14000</v>
      </c>
    </row>
    <row r="15" spans="1:3" ht="15.5">
      <c r="A15" s="171" t="s">
        <v>330</v>
      </c>
      <c r="B15" s="174">
        <v>40179</v>
      </c>
      <c r="C15" s="174">
        <v>40179</v>
      </c>
    </row>
    <row r="16" spans="1:3" ht="15.5">
      <c r="A16" s="171"/>
      <c r="B16" s="103"/>
      <c r="C16" s="103"/>
    </row>
    <row r="17" spans="1:3" ht="15.5">
      <c r="A17" s="171" t="s">
        <v>329</v>
      </c>
      <c r="B17" s="2">
        <v>0</v>
      </c>
      <c r="C17" s="2">
        <v>0</v>
      </c>
    </row>
    <row r="18" spans="1:3" ht="15.5">
      <c r="A18" s="171" t="s">
        <v>205</v>
      </c>
      <c r="B18" s="186">
        <v>0</v>
      </c>
      <c r="C18" s="186">
        <v>0</v>
      </c>
    </row>
    <row r="19" spans="1:3" ht="15.5">
      <c r="A19" s="171" t="s">
        <v>0</v>
      </c>
      <c r="B19" s="57">
        <v>0.2</v>
      </c>
      <c r="C19" s="57">
        <v>0.2</v>
      </c>
    </row>
    <row r="20" spans="1:3" ht="15.5">
      <c r="A20" s="171" t="s">
        <v>156</v>
      </c>
      <c r="B20" s="8">
        <v>42095</v>
      </c>
      <c r="C20" s="8">
        <v>42095</v>
      </c>
    </row>
    <row r="21" spans="1:3" ht="15.5">
      <c r="A21" s="171"/>
      <c r="B21" s="103"/>
      <c r="C21" s="103"/>
    </row>
    <row r="22" spans="1:3" ht="15.5">
      <c r="A22" s="171" t="s">
        <v>308</v>
      </c>
      <c r="B22" s="10">
        <v>0</v>
      </c>
      <c r="C22" s="10">
        <v>0</v>
      </c>
    </row>
    <row r="23" spans="1:3" ht="15.5">
      <c r="A23" s="171" t="s">
        <v>289</v>
      </c>
      <c r="B23" s="182">
        <v>0</v>
      </c>
      <c r="C23" s="182">
        <v>0</v>
      </c>
    </row>
    <row r="24" spans="1:3" ht="15.5">
      <c r="A24" s="171" t="s">
        <v>140</v>
      </c>
      <c r="B24" s="168">
        <v>0</v>
      </c>
      <c r="C24" s="168">
        <v>0</v>
      </c>
    </row>
    <row r="25" spans="1:3" ht="13">
      <c r="A25" s="231" t="s">
        <v>23</v>
      </c>
      <c r="B25" s="157">
        <v>41455</v>
      </c>
      <c r="C25" s="157">
        <v>41455</v>
      </c>
    </row>
    <row r="26" spans="1:3" ht="11" thickBot="1">
      <c r="A26" s="103"/>
      <c r="B26" s="103"/>
      <c r="C26" s="103"/>
    </row>
    <row r="27" spans="1:3" ht="16" thickBot="1">
      <c r="A27" s="171" t="s">
        <v>2</v>
      </c>
      <c r="B27" s="224"/>
    </row>
    <row r="28" spans="1:3" ht="10.5" thickBot="1"/>
    <row r="29" spans="1:3" ht="10.5" thickBot="1">
      <c r="A29" t="s">
        <v>25</v>
      </c>
      <c r="B29" s="215"/>
    </row>
    <row r="30" spans="1:3" ht="10.5" thickTop="1"/>
    <row r="31" spans="1:3"/>
    <row r="32" spans="1:3">
      <c r="A32" t="s">
        <v>161</v>
      </c>
      <c r="B32" s="267" t="s">
        <v>312</v>
      </c>
    </row>
    <row r="33" customFormat="1"/>
    <row r="34" customFormat="1"/>
    <row r="35" customFormat="1"/>
    <row r="36" customFormat="1"/>
    <row r="37" customFormat="1"/>
    <row r="38" customFormat="1"/>
    <row r="39" customFormat="1"/>
    <row r="40" customFormat="1"/>
    <row r="41" customFormat="1"/>
    <row r="42" customFormat="1"/>
    <row r="43" customFormat="1"/>
    <row r="44" customFormat="1" hidden="1"/>
    <row r="45" customFormat="1" hidden="1"/>
    <row r="46" customFormat="1" hidden="1"/>
    <row r="47" customFormat="1" hidden="1"/>
    <row r="48" customFormat="1" hidden="1"/>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row r="134" customFormat="1" hidden="1"/>
    <row r="135" customFormat="1" hidden="1"/>
    <row r="136" customFormat="1" hidden="1"/>
    <row r="137" customFormat="1" hidden="1"/>
    <row r="138" customFormat="1" hidden="1"/>
    <row r="139" customFormat="1" hidden="1"/>
    <row r="140" customFormat="1" hidden="1"/>
    <row r="141" customFormat="1" hidden="1"/>
    <row r="142" customFormat="1" hidden="1"/>
    <row r="143" customFormat="1" hidden="1"/>
    <row r="144" customFormat="1" hidden="1"/>
    <row r="145" customFormat="1" hidden="1"/>
  </sheetData>
  <pageMargins left="0.7" right="0.7" top="0.75" bottom="0.75" header="0.3" footer="0.3"/>
  <pageSetup paperSize="9" orientation="portrait"/>
  <customProperties>
    <customPr name="MMSheetType"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odelMaker>
<![CDATA[{
  "$id": "1",
  "$type": "ModelMaker.Models.Project, ModelMaker",
  "CanShowCompletionItems": true,
  "HistoricResults": null,
  "HasMultipleTimelines": false,
  "Dimensions": {
    "$type": "ModelMakerEngine.MMDimensions, ModelMakerEngine",
    "$values": []
  },
  "HasDimensions": false,
  "DefaultUnit": {
    "$id": "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FileVersion": 2,
  "FilePath": "C:\\Repositories\\Financial Models\\GEN\\GEN.obz",
  "Nodes": {
    "$type": "ModelMaker.Models.ProjectItemSet`1[[ModelMakerEngine.INode, ModelMakerEngine]], ModelMaker",
    "$values": [
      {
        "$id": "3",
        "$type": "ModelMaker.GroupNode, ModelMaker",
        "TabOrHeaderColour": "",
        "Comment": "",
        "NameOfGroup": null,
        "YPosition": 0,
        "Folded": true,
        "Font": null,
        "Children": {
          "$type": "ModelMaker.GroupNodeChildCollection, ModelMaker",
          "$values": [
            {
              "$id": "4",
              "$type": "ModelMaker.VariableNode, ModelMaker",
              "RowTotalDependent": null,
              "PutCalculationOnReport": false,
              "CalculateOnThisReport": null,
              "PivotTableLink": null,
              "ExcelNameName": "Net_Cashflow",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5870cc71-afa1-436a-a49f-6ab8af9bea9c",
              "Dimensions": {
                "$type": "ModelMakerEngine.MMDimensions, ModelMakerEngine",
                "$values": []
              },
              "EquationOBXInternal": "",
              "NameOfGroup": "Unallocated",
              "EquationToParse": "",
              "MostRecentExpectedUnitErrors": null,
              "Units": {
                "$ref": "2"
              },
              "Name": "Net Cashflow",
              "ReportLines": {
                "$type": "ModelMaker.UndoableCollection`1[[ModelMakerEngine.IReportLine, ModelMakerEngine]], ModelMaker.Undo",
                "$values": [
                  {
                    "$id": "5",
                    "$type": "ModelMaker.ReportLine, ModelMaker",
                    "AssociatedSchematicNode": {
                      "$ref": "4"
                    },
                    "OpeningBalanceFlagAppliedName": "",
                    "SumOfAboveIncludesPreviousTotal": true,
                    "LastNameUsed": null,
                    "SwitchSignForReport": false,
                    "IsSumOfAbove": true,
                    "ParentReport": {
                      "$id": "6",
                      "$type": "ModelMaker.Report, ModelMaker",
                      "TimeStep": 8,
                      "YearEndBasis": 1003,
                      "TimeStepYearEndBasisPairs": {
                        "$type": "ModelMaker.UndoableCollection`1[[ModelMakerEngine.TimeStepPeriodEndBasisPair, ModelMakerEngine]], ModelMaker.Undo",
                        "$values": [
                          {
                            "$id": "7",
                            "$type": "ModelMakerEngine.TimeStepPeriodEndBasisPair, ModelMakerEngine",
                            "TimeStep": 8,
                            "YearEnd": 1003
                          }
                        ]
                      },
                      "YearEndMonth": 0,
                      "AllowTitleChange": true,
                      "IsDuplicate": false,
                      "Title": "Cashflow",
                      "ReportLinesCalculated": {
                        "$type": "System.Collections.Generic.List`1[[ModelMakerEngine.IReportLine, ModelMakerEngine]], mscorlib",
                        "$values": []
                      },
                      "ReportLines": {
                        "$type": "ModelMaker.UndoableCollection`1[[ModelMakerEngine.IReportLine, ModelMakerEngine]], ModelMaker.Undo",
                        "$values": [
                          {
                            "$id": "8",
                            "$type": "ModelMaker.ReportLine, ModelMaker",
                            "AssociatedSchematicNode": {
                              "$id": "9",
                              "$type": "ModelMaker.VariableNode, ModelMaker",
                              "RowTotalDependent": null,
                              "PutCalculationOnReport": false,
                              "CalculateOnThisReport": null,
                              "PivotTableLink": null,
                              "ExcelNameName": "Cash_in_from_Sale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b6425741-fcd6-4726-bb94-a7ddbd964c88",
                              "Dimensions": {
                                "$type": "ModelMakerEngine.MMDimensions, ModelMakerEngine",
                                "$values": []
                              },
                              "EquationOBXInternal": "DELAY([New Deferred Income from customer orders], [Customer payment terms (months)],0) + DELAY([Output VAT], [Customer payment terms (months)],0) ",
                              "NameOfGroup": "Unallocated",
                              "EquationToParse": "DELAY([New Deferred Income from customer orders], [Customer payment terms (months)],0) + DELAY([Output VAT], [Customer payment terms (months)],0) ",
                              "MostRecentExpectedUnitErrors": null,
                              "Units": {
                                "$id": "1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in from Sales",
                              "ReportLines": {
                                "$type": "ModelMaker.UndoableCollection`1[[ModelMakerEngine.IReportLine, ModelMakerEngine]], ModelMaker.Undo",
                                "$values": [
                                  {
                                    "$ref": "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id": "11",
                            "$type": "ModelMaker.ReportLine, ModelMaker",
                            "AssociatedSchematicNode": {
                              "$id": "12",
                              "$type": "ModelMaker.VariableNode, ModelMaker",
                              "RowTotalDependent": null,
                              "PutCalculationOnReport": false,
                              "CalculateOnThisReport": null,
                              "PivotTableLink": null,
                              "ExcelNameName": "Cash_out_on_Operating_Expense",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18839b3b-b480-4896-97d0-2b414b03438a",
                              "Dimensions": {
                                "$type": "ModelMakerEngine.MMDimensions, ModelMakerEngine",
                                "$values": []
                              },
                              "EquationOBXInternal": " [Fixed operating expense] + [Variable Operating expense] +[VAT on operating expense]",
                              "NameOfGroup": "Working Capital",
                              "EquationToParse": " [Fixed operating expense] + [Variable Operating expense] +[VAT on operating expense]",
                              "MostRecentExpectedUnitErrors": null,
                              "Units": {
                                "$ref": "2"
                              },
                              "Name": "Cash out on Operating Expense",
                              "ReportLines": {
                                "$type": "ModelMaker.UndoableCollection`1[[ModelMakerEngine.IReportLine, ModelMakerEngine]], ModelMaker.Undo",
                                "$values": [
                                  {
                                    "$ref": "1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13",
                            "$type": "ModelMaker.ReportLine, ModelMaker",
                            "AssociatedSchematicNode": {
                              "$id": "14",
                              "$type": "ModelMaker.VariableNode, ModelMaker",
                              "RowTotalDependent": null,
                              "PutCalculationOnReport": false,
                              "CalculateOnThisReport": null,
                              "PivotTableLink": null,
                              "ExcelNameName": "VAT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a355c629-7fba-4640-ae35-aa8ac982cb48",
                              "Dimensions": {
                                "$type": "ModelMakerEngine.MMDimensions, ModelMakerEngine",
                                "$values": []
                              },
                              "EquationOBXInternal": "DELAY([VAT quarterly return],[VAT payment delay],0)",
                              "NameOfGroup": "VAT",
                              "EquationToParse": "DELAY([VAT quarterly return],[VAT payment delay],0)",
                              "MostRecentExpectedUnitErrors": null,
                              "Units": {
                                "$id": "1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paid",
                              "ReportLines": {
                                "$type": "ModelMaker.UndoableCollection`1[[ModelMakerEngine.IReportLine, ModelMakerEngine]], ModelMaker.Undo",
                                "$values": [
                                  {
                                    "$ref": "1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16",
                            "$type": "ModelMaker.ReportLine, ModelMaker",
                            "AssociatedSchematicNode": {
                              "$id": "17",
                              "$type": "ModelMaker.VariableNode, ModelMaker",
                              "RowTotalDependent": null,
                              "PutCalculationOnReport": false,
                              "CalculateOnThisReport": null,
                              "PivotTableLink": null,
                              "ExcelNameName": "Corporation_tax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7f4642ef-faf1-49e1-9cf6-107e345f759f",
                              "Dimensions": {
                                "$type": "ModelMakerEngine.MMDimensions, ModelMakerEngine",
                                "$values": []
                              },
                              "EquationOBXInternal": "BEG([Corporation tax creditor]) * [Corporation tax paid this period]",
                              "NameOfGroup": "Corporation tax.Corporation tax creditor",
                              "EquationToParse": "[Corporation tax creditor!!BEG] * [Corporation tax paid this period]",
                              "MostRecentExpectedUnitErrors": null,
                              "Units": {
                                "$id": "1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paid",
                              "ReportLines": {
                                "$type": "ModelMaker.UndoableCollection`1[[ModelMakerEngine.IReportLine, ModelMakerEngine]], ModelMaker.Undo",
                                "$values": [
                                  {
                                    "$ref": "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19",
                            "$type": "ModelMaker.ReportLine, ModelMaker",
                            "AssociatedSchematicNode": {
                              "$id": "20",
                              "$type": "ModelMaker.VariableNode, ModelMaker",
                              "RowTotalDependent": null,
                              "PutCalculationOnReport": false,
                              "CalculateOnThisReport": null,
                              "PivotTableLink": null,
                              "ExcelNameName": "Operating_Cashflow",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a727159d-6137-47cc-ba87-65d9d95666ca",
                              "Dimensions": {
                                "$type": "ModelMakerEngine.MMDimensions, ModelMakerEngine",
                                "$values": []
                              },
                              "EquationOBXInternal": "",
                              "NameOfGroup": "Unallocated",
                              "EquationToParse": "",
                              "MostRecentExpectedUnitErrors": null,
                              "Units": {
                                "$ref": "2"
                              },
                              "Name": "Operating Cashflow",
                              "ReportLines": {
                                "$type": "ModelMaker.UndoableCollection`1[[ModelMakerEngine.IReportLine, ModelMakerEngine]], ModelMaker.Undo",
                                "$values": [
                                  {
                                    "$ref": "1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6"
                            },
                            "HeadingLevel": 0,
                            "ReportFormatName": null,
                            "YPosition": -1,
                            "Visible": true,
                            "Font": null,
                            "AllowIncomingLinks": true,
                            "AllowOutgoingLinks": true,
                            "Deletable": true,
                            "Issues": null
                          },
                          {
                            "$id": "21",
                            "$type": "ModelMaker.ReportLine, ModelMaker",
                            "AssociatedSchematicNode": {
                              "$id": "22",
                              "$type": "ModelMaker.VariableNode, ModelMaker",
                              "RowTotalDependent": null,
                              "PutCalculationOnReport": false,
                              "CalculateOnThisReport": null,
                              "PivotTableLink": null,
                              "ExcelNameName": "Cash_out_on_Inventory",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c413c9d9-ca34-4cad-9ab5-aac94ee193d8",
                              "Dimensions": {
                                "$type": "ModelMakerEngine.MMDimensions, ModelMakerEngine",
                                "$values": []
                              },
                              "EquationOBXInternal": "(1 + [VAT rate]) * (DELAY([Units ordered], [Order lead time (months)],0) * [Supplier price per unit] * (1-[Supplier order deposit]))+([Units ordered] * [Supplier price per unit] * [Supplier order deposit])",
                              "NameOfGroup": "Unallocated",
                              "EquationToParse": "(1 + [VAT rate]) * (DELAY([Units ordered], [Order lead time (months)],0) * [Supplier price per unit] * (1-[Supplier order deposit]))+([Units ordered] * [Supplier price per unit] * [Supplier order deposit])",
                              "MostRecentExpectedUnitErrors": null,
                              "Units": {
                                "$id": "2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out on Inventory",
                              "ReportLines": {
                                "$type": "ModelMaker.UndoableCollection`1[[ModelMakerEngine.IReportLine, ModelMakerEngine]], ModelMaker.Undo",
                                "$values": [
                                  {
                                    "$ref": "2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24",
                            "$type": "ModelMaker.ReportLine, ModelMaker",
                            "AssociatedSchematicNode": {
                              "$id": "25",
                              "$type": "ModelMaker.VariableNode, ModelMaker",
                              "RowTotalDependent": null,
                              "PutCalculationOnReport": false,
                              "CalculateOnThisReport": null,
                              "PivotTableLink": null,
                              "ExcelNameName": "CF_after_capex",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d6738e77-1168-434f-87ed-d04cdb6ea090",
                              "Dimensions": {
                                "$type": "ModelMakerEngine.MMDimensions, ModelMakerEngine",
                                "$values": []
                              },
                              "EquationOBXInternal": "",
                              "NameOfGroup": "Unallocated",
                              "EquationToParse": "",
                              "MostRecentExpectedUnitErrors": null,
                              "Units": {
                                "$ref": "2"
                              },
                              "Name": "CF after capex",
                              "ReportLines": {
                                "$type": "ModelMaker.UndoableCollection`1[[ModelMakerEngine.IReportLine, ModelMakerEngine]], ModelMaker.Undo",
                                "$values": [
                                  {
                                    "$ref": "2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6"
                            },
                            "HeadingLevel": 0,
                            "ReportFormatName": null,
                            "YPosition": -1,
                            "Visible": true,
                            "Font": null,
                            "AllowIncomingLinks": true,
                            "AllowOutgoingLinks": true,
                            "Deletable": true,
                            "Issues": null
                          },
                          {
                            "$id": "26",
                            "$type": "ModelMaker.ReportLine, ModelMaker",
                            "AssociatedSchematicNode": {
                              "$id": "27",
                              "$type": "ModelMaker.VariableNode, ModelMaker",
                              "RowTotalDependent": null,
                              "PutCalculationOnReport": false,
                              "CalculateOnThisReport": null,
                              "PivotTableLink": null,
                              "ExcelNameName": "Supply_Chain_Finance_drawdown",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98cfaf0-1ba4-4f74-bf08-be2544944007",
                              "Dimensions": {
                                "$type": "ModelMakerEngine.MMDimensions, ModelMakerEngine",
                                "$values": []
                              },
                              "EquationOBXInternal": "[Supply Chain Finance enabled flag]*([Units ordered]*[Supplier price per unit]*[Supply Chain Finance Advance %])",
                              "NameOfGroup": "Trade Finance",
                              "EquationToParse": "[Supply Chain Finance enabled flag]*([Units ordered]*[Supplier price per unit]*[Supply Chain Finance Advance %])",
                              "MostRecentExpectedUnitErrors": null,
                              "Units": {
                                "$id": "2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drawdown",
                              "ReportLines": {
                                "$type": "ModelMaker.UndoableCollection`1[[ModelMakerEngine.IReportLine, ModelMakerEngine]], ModelMaker.Undo",
                                "$values": [
                                  {
                                    "$ref": "2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id": "29",
                            "$type": "ModelMaker.ReportLine, ModelMaker",
                            "AssociatedSchematicNode": {
                              "$id": "30",
                              "$type": "ModelMaker.VariableNode, ModelMaker",
                              "RowTotalDependent": null,
                              "PutCalculationOnReport": false,
                              "CalculateOnThisReport": null,
                              "PivotTableLink": null,
                              "ExcelNameName": "Supply_Chain_Finance_principal_repaymen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72790992-3148-4751-8650-9cdc22a96c54",
                              "Dimensions": {
                                "$type": "ModelMakerEngine.MMDimensions, ModelMakerEngine",
                                "$values": []
                              },
                              "EquationOBXInternal": "DELAY([Supply Chain Finance drawdown],[Order lead time (months)],0)",
                              "NameOfGroup": "Trade Finance",
                              "EquationToParse": "DELAY([Supply Chain Finance drawdown],[Order lead time (months)],0)",
                              "MostRecentExpectedUnitErrors": null,
                              "Units": {
                                "$id": "3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principal repayment",
                              "ReportLines": {
                                "$type": "ModelMaker.UndoableCollection`1[[ModelMakerEngine.IReportLine, ModelMakerEngine]], ModelMaker.Undo",
                                "$values": [
                                  {
                                    "$ref": "2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32",
                            "$type": "ModelMaker.ReportLine, ModelMaker",
                            "AssociatedSchematicNode": {
                              "$id": "33",
                              "$type": "ModelMaker.VariableNode, ModelMaker",
                              "RowTotalDependent": null,
                              "PutCalculationOnReport": false,
                              "CalculateOnThisReport": null,
                              "PivotTableLink": null,
                              "ExcelNameName": "Invoice_finance_drawdown",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3f6803cc-7823-4c81-be89-6f0330330e5c",
                              "Dimensions": {
                                "$type": "ModelMakerEngine.MMDimensions, ModelMakerEngine",
                                "$values": []
                              },
                              "EquationOBXInternal": "[Invoice Finance Enabled flag] *[Income]*[Invoice Finance Advance %]",
                              "NameOfGroup": "Invoice finance",
                              "EquationToParse": "[Invoice Finance Enabled flag] *[Income]*[Invoice Finance Advance %]",
                              "MostRecentExpectedUnitErrors": null,
                              "Units": {
                                "$id": "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drawdown",
                              "ReportLines": {
                                "$type": "ModelMaker.UndoableCollection`1[[ModelMakerEngine.IReportLine, ModelMakerEngine]], ModelMaker.Undo",
                                "$values": [
                                  {
                                    "$ref": "3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id": "35",
                            "$type": "ModelMaker.ReportLine, ModelMaker",
                            "AssociatedSchematicNode": {
                              "$id": "36",
                              "$type": "ModelMaker.VariableNode, ModelMaker",
                              "RowTotalDependent": null,
                              "PutCalculationOnReport": false,
                              "CalculateOnThisReport": null,
                              "PivotTableLink": null,
                              "ExcelNameName": "Invoice_finance_principal_repaymen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38ba4333-56a4-4565-8d56-f0e3203ffca8",
                              "Dimensions": {
                                "$type": "ModelMakerEngine.MMDimensions, ModelMakerEngine",
                                "$values": []
                              },
                              "EquationOBXInternal": "DELAY([Invoice finance drawdown],[Customer payment terms (months)],0)",
                              "NameOfGroup": "Invoice finance",
                              "EquationToParse": "DELAY([Invoice finance drawdown],[Customer payment terms (months)],0)",
                              "MostRecentExpectedUnitErrors": null,
                              "Units": {
                                "$id": "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principal repayment",
                              "ReportLines": {
                                "$type": "ModelMaker.UndoableCollection`1[[ModelMakerEngine.IReportLine, ModelMakerEngine]], ModelMaker.Undo",
                                "$values": [
                                  {
                                    "$ref": "3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38",
                            "$type": "ModelMaker.ReportLine, ModelMaker",
                            "AssociatedSchematicNode": {
                              "$id": "39",
                              "$type": "ModelMaker.VariableNode, ModelMaker",
                              "RowTotalDependent": null,
                              "PutCalculationOnReport": false,
                              "CalculateOnThisReport": null,
                              "PivotTableLink": null,
                              "ExcelNameName": "Asset_Finance_drawdown",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9722616-9eec-403e-a8ed-c75e33927062",
                              "Dimensions": {
                                "$type": "ModelMakerEngine.MMDimensions, ModelMakerEngine",
                                "$values": []
                              },
                              "EquationOBXInternal": "[Asset Finance Enabled flag]*[Units delivered]*[Supplier price per unit]*[Asset Finance Advance %]",
                              "NameOfGroup": "Trade Finance",
                              "EquationToParse": "[Asset Finance Enabled flag]*[Units delivered]*[Supplier price per unit]*[Asset Finance Advance %]",
                              "MostRecentExpectedUnitErrors": null,
                              "Units": {
                                "$id": "4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drawdown",
                              "ReportLines": {
                                "$type": "ModelMaker.UndoableCollection`1[[ModelMakerEngine.IReportLine, ModelMakerEngine]], ModelMaker.Undo",
                                "$values": [
                                  {
                                    "$ref": "3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id": "41",
                            "$type": "ModelMaker.ReportLine, ModelMaker",
                            "AssociatedSchematicNode": {
                              "$id": "42",
                              "$type": "ModelMaker.VariableNode, ModelMaker",
                              "RowTotalDependent": null,
                              "PutCalculationOnReport": false,
                              "CalculateOnThisReport": null,
                              "PivotTableLink": null,
                              "ExcelNameName": "Asset_Finance_principal_repaymen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13c42c0b-f029-4c3e-9d61-f485afb4c62f",
                              "Dimensions": {
                                "$type": "ModelMakerEngine.MMDimensions, ModelMakerEngine",
                                "$values": []
                              },
                              "EquationOBXInternal": "BEG([Asset Finance balance])/[Asset Finance Period]",
                              "NameOfGroup": "Trade Finance",
                              "EquationToParse": "[Asset Finance balance!!BEG]/[Asset Finance Period]",
                              "MostRecentExpectedUnitErrors": null,
                              "Units": {
                                "$id": "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principal repayment",
                              "ReportLines": {
                                "$type": "ModelMaker.UndoableCollection`1[[ModelMakerEngine.IReportLine, ModelMakerEngine]], ModelMaker.Undo",
                                "$values": [
                                  {
                                    "$ref": "4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44",
                            "$type": "ModelMaker.ReportLine, ModelMaker",
                            "AssociatedSchematicNode": {
                              "$id": "45",
                              "$type": "ModelMaker.VariableNode, ModelMaker",
                              "RowTotalDependent": null,
                              "PutCalculationOnReport": false,
                              "CalculateOnThisReport": null,
                              "PivotTableLink": null,
                              "ExcelNameName": "Supply_Chain_Finance_interest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a683840f-d39a-447f-9e7d-89c840658783",
                              "Dimensions": {
                                "$type": "ModelMakerEngine.MMDimensions, ModelMakerEngine",
                                "$values": []
                              },
                              "EquationOBXInternal": "[Supply Chain Finance interest]",
                              "NameOfGroup": "Trade Finance",
                              "EquationToParse": "[Supply Chain Finance interest]",
                              "MostRecentExpectedUnitErrors": null,
                              "Units": {
                                "$id": "4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paid",
                              "ReportLines": {
                                "$type": "ModelMaker.UndoableCollection`1[[ModelMakerEngine.IReportLine, ModelMakerEngine]], ModelMaker.Undo",
                                "$values": [
                                  {
                                    "$ref": "4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47",
                            "$type": "ModelMaker.ReportLine, ModelMaker",
                            "AssociatedSchematicNode": {
                              "$id": "48",
                              "$type": "ModelMaker.VariableNode, ModelMaker",
                              "RowTotalDependent": null,
                              "PutCalculationOnReport": false,
                              "CalculateOnThisReport": null,
                              "PivotTableLink": null,
                              "ExcelNameName": "Invoice_finance_interest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5d0c769e-8b7a-4e37-bd06-499105df53b6",
                              "Dimensions": {
                                "$type": "ModelMakerEngine.MMDimensions, ModelMakerEngine",
                                "$values": []
                              },
                              "EquationOBXInternal": "[Invoice finance interest]",
                              "NameOfGroup": "Invoice finance",
                              "EquationToParse": "[Invoice finance interest]",
                              "MostRecentExpectedUnitErrors": null,
                              "Units": {
                                "$id": "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paid",
                              "ReportLines": {
                                "$type": "ModelMaker.UndoableCollection`1[[ModelMakerEngine.IReportLine, ModelMakerEngine]], ModelMaker.Undo",
                                "$values": [
                                  {
                                    "$ref": "4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50",
                            "$type": "ModelMaker.ReportLine, ModelMaker",
                            "AssociatedSchematicNode": {
                              "$id": "51",
                              "$type": "ModelMaker.VariableNode, ModelMaker",
                              "RowTotalDependent": null,
                              "PutCalculationOnReport": false,
                              "CalculateOnThisReport": null,
                              "PivotTableLink": null,
                              "ExcelNameName": "Asset_Finance_interest_pai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8a89ab96-793d-4b18-9fff-83f73db3ea8b",
                              "Dimensions": {
                                "$type": "ModelMakerEngine.MMDimensions, ModelMakerEngine",
                                "$values": []
                              },
                              "EquationOBXInternal": "[Asset Finance interest]",
                              "NameOfGroup": "Trade Finance",
                              "EquationToParse": "[Asset Finance interest]",
                              "MostRecentExpectedUnitErrors": null,
                              "Units": {
                                "$id": "5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paid",
                              "ReportLines": {
                                "$type": "ModelMaker.UndoableCollection`1[[ModelMakerEngine.IReportLine, ModelMakerEngine]], ModelMaker.Undo",
                                "$values": [
                                  {
                                    "$ref": "5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YPosition": -1,
                            "Visible": true,
                            "Font": null,
                            "AllowIncomingLinks": true,
                            "AllowOutgoingLinks": true,
                            "Deletable": true,
                            "Issues": null
                          },
                          {
                            "$id": "53",
                            "$type": "ModelMaker.ReportLine, ModelMaker",
                            "AssociatedSchematicNode": {
                              "$id": "54",
                              "$type": "ModelMaker.VariableNode, ModelMaker",
                              "RowTotalDependent": null,
                              "PutCalculationOnReport": false,
                              "CalculateOnThisReport": null,
                              "PivotTableLink": null,
                              "ExcelNameName": "CF_after_financing",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264bb799-cfbf-49c7-aac5-72b7ce292372",
                              "Dimensions": {
                                "$type": "ModelMakerEngine.MMDimensions, ModelMakerEngine",
                                "$values": []
                              },
                              "EquationOBXInternal": "",
                              "NameOfGroup": "Unallocated",
                              "EquationToParse": "",
                              "MostRecentExpectedUnitErrors": null,
                              "Units": {
                                "$ref": "2"
                              },
                              "Name": "CF after financing",
                              "ReportLines": {
                                "$type": "ModelMaker.UndoableCollection`1[[ModelMakerEngine.IReportLine, ModelMakerEngine]], ModelMaker.Undo",
                                "$values": [
                                  {
                                    "$ref": "5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6"
                            },
                            "HeadingLevel": 0,
                            "ReportFormatName": null,
                            "YPosition": -1,
                            "Visible": true,
                            "Font": null,
                            "AllowIncomingLinks": true,
                            "AllowOutgoingLinks": true,
                            "Deletable": true,
                            "Issues": null
                          },
                          {
                            "$id": "55",
                            "$type": "ModelMaker.ReportLine, ModelMaker",
                            "AssociatedSchematicNode": {
                              "$id": "56",
                              "$type": "ModelMaker.VariableNode, ModelMaker",
                              "RowTotalDependent": null,
                              "PutCalculationOnReport": false,
                              "CalculateOnThisReport": null,
                              "PivotTableLink": null,
                              "ExcelNameName": "New_share_capital_issu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b482c420-f430-4084-b502-1ce3d9c13a8d",
                              "Dimensions": {
                                "$type": "ModelMakerEngine.MMDimensions, ModelMakerEngine",
                                "$values": []
                              },
                              "EquationOBXInternal": null,
                              "NameOfGroup": "Equity",
                              "EquationToParse": "",
                              "MostRecentExpectedUnitErrors": null,
                              "Units": {
                                "$ref": "2"
                              },
                              "Name": "New share capital issued",
                              "ReportLines": {
                                "$type": "ModelMaker.UndoableCollection`1[[ModelMakerEngine.IReportLine, ModelMakerEngine]], ModelMaker.Undo",
                                "$values": [
                                  {
                                    "$ref": "5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YPosition": -1,
                            "Visible": true,
                            "Font": null,
                            "AllowIncomingLinks": true,
                            "AllowOutgoingLinks": true,
                            "Deletable": true,
                            "Issues": null
                          },
                          {
                            "$ref": "5"
                          }
                        ]
                      },
                      "AllowIncomingLinks": false,
                      "AllowOutgoingLinks": false,
                      "YPosition": -1,
                      "Name": "Cashflow",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20"
            },
            {
              "$ref": "25"
            },
            {
              "$ref": "54"
            },
            {
              "$id": "57",
              "$type": "ModelMaker.VariableNode, ModelMaker",
              "RowTotalDependent": null,
              "PutCalculationOnReport": false,
              "CalculateOnThisReport": null,
              "PivotTableLink": null,
              "ExcelNameName": "Retained_Earnings_this_perio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862bb981-4ee4-432a-ab70-c663a984fbd1",
              "Dimensions": {
                "$type": "ModelMakerEngine.MMDimensions, ModelMakerEngine",
                "$values": []
              },
              "EquationOBXInternal": "",
              "NameOfGroup": "Unallocated",
              "EquationToParse": "",
              "MostRecentExpectedUnitErrors": null,
              "Units": {
                "$ref": "2"
              },
              "Name": "Retained Earnings this period",
              "ReportLines": {
                "$type": "ModelMaker.UndoableCollection`1[[ModelMakerEngine.IReportLine, ModelMakerEngine]], ModelMaker.Undo",
                "$values": [
                  {
                    "$id": "58",
                    "$type": "ModelMaker.ReportLine, ModelMaker",
                    "AssociatedSchematicNode": {
                      "$ref": "57"
                    },
                    "OpeningBalanceFlagAppliedName": "",
                    "SumOfAboveIncludesPreviousTotal": true,
                    "LastNameUsed": null,
                    "SwitchSignForReport": false,
                    "IsSumOfAbove": true,
                    "ParentReport": {
                      "$id": "59",
                      "$type": "ModelMaker.Report, ModelMaker",
                      "TimeStep": 8,
                      "YearEndBasis": 1003,
                      "TimeStepYearEndBasisPairs": {
                        "$type": "ModelMaker.UndoableCollection`1[[ModelMakerEngine.TimeStepPeriodEndBasisPair, ModelMakerEngine]], ModelMaker.Undo",
                        "$values": [
                          {
                            "$id": "60",
                            "$type": "ModelMakerEngine.TimeStepPeriodEndBasisPair, ModelMakerEngine",
                            "TimeStep": 8,
                            "YearEnd": 1003
                          }
                        ]
                      },
                      "YearEndMonth": 0,
                      "AllowTitleChange": true,
                      "IsDuplicate": false,
                      "Title": "Income Statement",
                      "ReportLinesCalculated": {
                        "$type": "System.Collections.Generic.List`1[[ModelMakerEngine.IReportLine, ModelMakerEngine]], mscorlib",
                        "$values": []
                      },
                      "ReportLines": {
                        "$type": "ModelMaker.UndoableCollection`1[[ModelMakerEngine.IReportLine, ModelMakerEngine]], ModelMaker.Undo",
                        "$values": [
                          {
                            "$id": "61",
                            "$type": "ModelMaker.ReportLine, ModelMaker",
                            "AssociatedSchematicNode": {
                              "$id": "62",
                              "$type": "ModelMaker.VariableNode, ModelMaker",
                              "RowTotalDependent": null,
                              "PutCalculationOnReport": false,
                              "CalculateOnThisReport": null,
                              "PivotTableLink": null,
                              "ExcelNameName": "Income",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438ca53-8dfa-490f-8bbe-591a4d825679",
                              "Dimensions": {
                                "$type": "ModelMakerEngine.MMDimensions, ModelMakerEngine",
                                "$values": []
                              },
                              "EquationOBXInternal": "[Sales Price Unit] * [Units in use]",
                              "NameOfGroup": "Financials",
                              "EquationToParse": "[Sales Price Unit] * [Units in use]",
                              "MostRecentExpectedUnitErrors": null,
                              "Units": {
                                "$id": "6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come",
                              "ReportLines": {
                                "$type": "ModelMaker.UndoableCollection`1[[ModelMakerEngine.IReportLine, ModelMakerEngine]], ModelMaker.Undo",
                                "$values": [
                                  {
                                    "$ref": "6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59"
                            },
                            "HeadingLevel": 0,
                            "ReportFormatName": null,
                            "YPosition": -1,
                            "Visible": true,
                            "Font": null,
                            "AllowIncomingLinks": true,
                            "AllowOutgoingLinks": true,
                            "Deletable": true,
                            "Issues": null
                          },
                          {
                            "$id": "64",
                            "$type": "ModelMaker.ReportLine, ModelMaker",
                            "AssociatedSchematicNode": {
                              "$id": "65",
                              "$type": "ModelMaker.VariableNode, ModelMaker",
                              "RowTotalDependent": null,
                              "PutCalculationOnReport": false,
                              "CalculateOnThisReport": null,
                              "PivotTableLink": null,
                              "ExcelNameName": "Variable_Operating_expense",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a21cc98e-de42-4592-8f7c-18d713f28bce",
                              "Dimensions": {
                                "$type": "ModelMakerEngine.MMDimensions, ModelMakerEngine",
                                "$values": []
                              },
                              "EquationOBXInternal": " [Sales] * [Variable Operating Costs as a % of sales]",
                              "NameOfGroup": "Expense",
                              "EquationToParse": " [Sales] * [Variable Operating Costs as a % of sales]",
                              "MostRecentExpectedUnitErrors": null,
                              "Units": {
                                "$ref": "2"
                              },
                              "Name": "Variable Operating expense",
                              "ReportLines": {
                                "$type": "ModelMaker.UndoableCollection`1[[ModelMakerEngine.IReportLine, ModelMakerEngine]], ModelMaker.Undo",
                                "$values": [
                                  {
                                    "$ref": "6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66",
                            "$type": "ModelMaker.ReportLine, ModelMaker",
                            "AssociatedSchematicNode": {
                              "$id": "67",
                              "$type": "ModelMaker.VariableNode, ModelMaker",
                              "RowTotalDependent": null,
                              "PutCalculationOnReport": false,
                              "CalculateOnThisReport": null,
                              "PivotTableLink": null,
                              "ExcelNameName": "Fixed_operating_expense",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87e44871-0597-43f5-87d7-b5d3743b38d0",
                              "Dimensions": {
                                "$type": "ModelMakerEngine.MMDimensions, ModelMakerEngine",
                                "$values": []
                              },
                              "EquationOBXInternal": "[Fixed Operating Cost Growth Rate escalation indexation factor] * [Fixed operating cost base]",
                              "NameOfGroup": "Expense",
                              "EquationToParse": "[Fixed Operating Cost Growth Rate escalation indexation factor] * [Fixed operating cost base]",
                              "MostRecentExpectedUnitErrors": null,
                              "Units": {
                                "$ref": "2"
                              },
                              "Name": "Fixed operating expense",
                              "ReportLines": {
                                "$type": "ModelMaker.UndoableCollection`1[[ModelMakerEngine.IReportLine, ModelMakerEngine]], ModelMaker.Undo",
                                "$values": [
                                  {
                                    "$ref": "6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68",
                            "$type": "ModelMaker.ReportLine, ModelMaker",
                            "AssociatedSchematicNode": {
                              "$id": "69",
                              "$type": "ModelMaker.VariableNode, ModelMaker",
                              "RowTotalDependent": null,
                              "PutCalculationOnReport": false,
                              "CalculateOnThisReport": null,
                              "PivotTableLink": null,
                              "ExcelNameName": "EBITDA",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82ef673d-5a5d-477e-8ea6-26197860e277",
                              "Dimensions": {
                                "$type": "ModelMakerEngine.MMDimensions, ModelMakerEngine",
                                "$values": []
                              },
                              "EquationOBXInternal": "",
                              "NameOfGroup": "Unallocated",
                              "EquationToParse": "",
                              "MostRecentExpectedUnitErrors": null,
                              "Units": {
                                "$ref": "2"
                              },
                              "Name": "EBITDA",
                              "ReportLines": {
                                "$type": "ModelMaker.UndoableCollection`1[[ModelMakerEngine.IReportLine, ModelMakerEngine]], ModelMaker.Undo",
                                "$values": [
                                  {
                                    "$ref": "6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YPosition": -1,
                            "Visible": true,
                            "Font": null,
                            "AllowIncomingLinks": true,
                            "AllowOutgoingLinks": true,
                            "Deletable": true,
                            "Issues": null
                          },
                          {
                            "$id": "70",
                            "$type": "ModelMaker.ReportLine, ModelMaker",
                            "AssociatedSchematicNode": {
                              "$id": "71",
                              "$type": "ModelMaker.VariableNode, ModelMaker",
                              "RowTotalDependent": null,
                              "PutCalculationOnReport": false,
                              "CalculateOnThisReport": null,
                              "PivotTableLink": null,
                              "ExcelNameName": "Depreciation_this_period",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970d4739-62b5-4324-a2f8-27f939e8357d",
                              "Dimensions": {
                                "$type": "ModelMakerEngine.MMDimensions, ModelMakerEngine",
                                "$values": []
                              },
                              "EquationOBXInternal": "(BEG([Inventory]) - ([Units on order] * [Supplier price per unit]))  / [Depreciation Term] ",
                              "NameOfGroup": "Assets",
                              "EquationToParse": "([Inventory!!BEG] - ([Units on order] * [Supplier price per unit]))  / [Depreciation Term] ",
                              "MostRecentExpectedUnitErrors": {
                                "$type": "System.Collections.Generic.List`1[[System.String, mscorlib]], mscorlib",
                                "$values": [
                                  "You are adding or subtracting something measured in GBP from something measured in UNITS * GBP"
                                ]
                              },
                              "Units": {
                                "$id": "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Depreciation this period",
                              "ReportLines": {
                                "$type": "ModelMaker.UndoableCollection`1[[ModelMakerEngine.IReportLine, ModelMakerEngine]], ModelMaker.Undo",
                                "$values": [
                                  {
                                    "$ref": "7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73",
                            "$type": "ModelMaker.ReportLine, ModelMaker",
                            "AssociatedSchematicNode": {
                              "$id": "74",
                              "$type": "ModelMaker.VariableNode, ModelMaker",
                              "RowTotalDependent": null,
                              "PutCalculationOnReport": false,
                              "CalculateOnThisReport": null,
                              "PivotTableLink": null,
                              "ExcelNameName": "EBIT",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76488a4d-9dcd-4a3f-b8f6-e239cb339ed5",
                              "Dimensions": {
                                "$type": "ModelMakerEngine.MMDimensions, ModelMakerEngine",
                                "$values": []
                              },
                              "EquationOBXInternal": "",
                              "NameOfGroup": "Unallocated",
                              "EquationToParse": "",
                              "MostRecentExpectedUnitErrors": null,
                              "Units": {
                                "$ref": "2"
                              },
                              "Name": "EBIT",
                              "ReportLines": {
                                "$type": "ModelMaker.UndoableCollection`1[[ModelMakerEngine.IReportLine, ModelMakerEngine]], ModelMaker.Undo",
                                "$values": [
                                  {
                                    "$ref": "7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YPosition": -1,
                            "Visible": true,
                            "Font": null,
                            "AllowIncomingLinks": true,
                            "AllowOutgoingLinks": true,
                            "Deletable": true,
                            "Issues": null
                          },
                          {
                            "$id": "75",
                            "$type": "ModelMaker.ReportLine, ModelMaker",
                            "AssociatedSchematicNode": {
                              "$id": "76",
                              "$type": "ModelMaker.VariableNode, ModelMaker",
                              "RowTotalDependent": null,
                              "PutCalculationOnReport": false,
                              "CalculateOnThisReport": null,
                              "PivotTableLink": null,
                              "ExcelNameName": "Supply_Chain_Finance_interes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dc5dbf12-e075-4c4d-a831-18bd47936529",
                              "Dimensions": {
                                "$type": "ModelMakerEngine.MMDimensions, ModelMakerEngine",
                                "$values": []
                              },
                              "EquationOBXInternal": "[Supply Chain Finance period interest rate]*BEG([Supply Chain Finance balance])",
                              "NameOfGroup": "Trade Finance",
                              "EquationToParse": "[Supply Chain Finance period interest rate]*[Supply Chain Finance balance!!BEG]",
                              "MostRecentExpectedUnitErrors": null,
                              "Units": {
                                "$id": "7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ReportLines": {
                                "$type": "ModelMaker.UndoableCollection`1[[ModelMakerEngine.IReportLine, ModelMakerEngine]], ModelMaker.Undo",
                                "$values": [
                                  {
                                    "$ref": "7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78",
                            "$type": "ModelMaker.ReportLine, ModelMaker",
                            "AssociatedSchematicNode": {
                              "$id": "79",
                              "$type": "ModelMaker.VariableNode, ModelMaker",
                              "RowTotalDependent": null,
                              "PutCalculationOnReport": false,
                              "CalculateOnThisReport": null,
                              "PivotTableLink": null,
                              "ExcelNameName": "Invoice_finance_interes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cf5256d2-5478-4192-8bc3-3591c79679a0",
                              "Dimensions": {
                                "$type": "ModelMakerEngine.MMDimensions, ModelMakerEngine",
                                "$values": []
                              },
                              "EquationOBXInternal": "[Invoice finance period interest rate]*BEG([Invoice finance balance])",
                              "NameOfGroup": "Invoice finance",
                              "EquationToParse": "[Invoice finance period interest rate]*[Invoice finance balance!!BEG]",
                              "MostRecentExpectedUnitErrors": null,
                              "Units": {
                                "$id": "8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ReportLines": {
                                "$type": "ModelMaker.UndoableCollection`1[[ModelMakerEngine.IReportLine, ModelMakerEngine]], ModelMaker.Undo",
                                "$values": [
                                  {
                                    "$ref": "7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81",
                            "$type": "ModelMaker.ReportLine, ModelMaker",
                            "AssociatedSchematicNode": {
                              "$id": "82",
                              "$type": "ModelMaker.VariableNode, ModelMaker",
                              "RowTotalDependent": null,
                              "PutCalculationOnReport": false,
                              "CalculateOnThisReport": null,
                              "PivotTableLink": null,
                              "ExcelNameName": "Asset_Finance_interest",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e1f764bf-8bff-4d79-8418-959186427ba5",
                              "Dimensions": {
                                "$type": "ModelMakerEngine.MMDimensions, ModelMakerEngine",
                                "$values": []
                              },
                              "EquationOBXInternal": "[Asset Finance period interest rate]*BEG([Asset Finance balance])",
                              "NameOfGroup": "Trade Finance",
                              "EquationToParse": "[Asset Finance period interest rate]*[Asset Finance balance!!BEG]",
                              "MostRecentExpectedUnitErrors": null,
                              "Units": {
                                "$id": "8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ReportLines": {
                                "$type": "ModelMaker.UndoableCollection`1[[ModelMakerEngine.IReportLine, ModelMakerEngine]], ModelMaker.Undo",
                                "$values": [
                                  {
                                    "$ref": "8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id": "84",
                            "$type": "ModelMaker.ReportLine, ModelMaker",
                            "AssociatedSchematicNode": {
                              "$id": "85",
                              "$type": "ModelMaker.VariableNode, ModelMaker",
                              "RowTotalDependent": null,
                              "PutCalculationOnReport": false,
                              "CalculateOnThisReport": null,
                              "PivotTableLink": null,
                              "ExcelNameName": "Profit_before_tax",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4ea36cef-d31c-487c-8703-2d8001cffa4e",
                              "Dimensions": {
                                "$type": "ModelMakerEngine.MMDimensions, ModelMakerEngine",
                                "$values": []
                              },
                              "EquationOBXInternal": "",
                              "NameOfGroup": "Corporation tax",
                              "EquationToParse": "",
                              "MostRecentExpectedUnitErrors": null,
                              "Units": {
                                "$id": "8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Profit before tax",
                              "ReportLines": {
                                "$type": "ModelMaker.UndoableCollection`1[[ModelMakerEngine.IReportLine, ModelMakerEngine]], ModelMaker.Undo",
                                "$values": [
                                  {
                                    "$ref": "8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YPosition": -1,
                            "Visible": true,
                            "Font": null,
                            "AllowIncomingLinks": true,
                            "AllowOutgoingLinks": true,
                            "Deletable": true,
                            "Issues": null
                          },
                          {
                            "$id": "87",
                            "$type": "ModelMaker.ReportLine, ModelMaker",
                            "AssociatedSchematicNode": {
                              "$id": "88",
                              "$type": "ModelMaker.VariableNode, ModelMaker",
                              "RowTotalDependent": null,
                              "PutCalculationOnReport": false,
                              "CalculateOnThisReport": null,
                              "PivotTableLink": null,
                              "ExcelNameName": "Corporation_tax",
                              "ExcelNameNames": {
                                "$type": "ModelMakerEngine.ExcelNameDictionary, ModelMakerEngine",
                                "$values": []
                              },
                              "NumberFormatOverride": null,
                              "HasOpeningBalanceFlag": false,
                              "OpeningBalanceFlagAppliedName": "",
                              "Deletable": true,
                              "Comment": "",
                              "HasSwitchSignLine": true,
                              "SwitchSignForReport": true,
                              "MultipleInputValues": null,
                              "NonPrimaryInput": false,
                              "Max": "NaN",
                              "Min": "NaN",
                              "IsBalanceButNotCorkscrew": false,
                              "IsEditable": true,
                              "IsConstant": false,
                              "UniqueID": "49405d67-0a01-418f-9647-e1b3bc6b1213",
                              "Dimensions": {
                                "$type": "ModelMakerEngine.MMDimensions, ModelMakerEngine",
                                "$values": []
                              },
                              "EquationOBXInternal": "[Corporation tax rate]*[Taxable income net of tax losses utilised]",
                              "NameOfGroup": "Corporation tax",
                              "EquationToParse": "[Corporation tax rate]*[Taxable income net of tax losses utilised]",
                              "MostRecentExpectedUnitErrors": null,
                              "Units": {
                                "$id": "8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ReportLines": {
                                "$type": "ModelMaker.UndoableCollection`1[[ModelMakerEngine.IReportLine, ModelMakerEngine]], ModelMaker.Undo",
                                "$values": [
                                  {
                                    "$ref": "8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YPosition": -1,
                            "Visible": true,
                            "Font": null,
                            "AllowIncomingLinks": true,
                            "AllowOutgoingLinks": true,
                            "Deletable": true,
                            "Issues": null
                          },
                          {
                            "$ref": "58"
                          }
                        ]
                      },
                      "AllowIncomingLinks": false,
                      "AllowOutgoingLinks": false,
                      "YPosition": -1,
                      "Name": "Income Statement",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90",
              "$type": "ModelMaker.VariableNode, ModelMaker",
              "RowTotalDependent": null,
              "PutCalculationOnReport": false,
              "CalculateOnThisReport": null,
              "PivotTableLink": null,
              "ExcelNameName": "Asset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03edb19a-e249-4854-8dbc-e5c4f8bcf6d1",
              "Dimensions": {
                "$type": "ModelMakerEngine.MMDimensions, ModelMakerEngine",
                "$values": []
              },
              "EquationOBXInternal": "",
              "NameOfGroup": "Unallocated",
              "EquationToParse": "",
              "MostRecentExpectedUnitErrors": null,
              "Units": {
                "$ref": "2"
              },
              "Name": "Assets",
              "ReportLines": {
                "$type": "ModelMaker.UndoableCollection`1[[ModelMakerEngine.IReportLine, ModelMakerEngine]], ModelMaker.Undo",
                "$values": [
                  {
                    "$id": "91",
                    "$type": "ModelMaker.ReportLine, ModelMaker",
                    "AssociatedSchematicNode": {
                      "$ref": "90"
                    },
                    "OpeningBalanceFlagAppliedName": "",
                    "SumOfAboveIncludesPreviousTotal": true,
                    "LastNameUsed": null,
                    "SwitchSignForReport": false,
                    "IsSumOfAbove": true,
                    "ParentReport": {
                      "$id": "92",
                      "$type": "ModelMaker.Report, ModelMaker",
                      "TimeStep": 8,
                      "YearEndBasis": 1003,
                      "TimeStepYearEndBasisPairs": {
                        "$type": "ModelMaker.UndoableCollection`1[[ModelMakerEngine.TimeStepPeriodEndBasisPair, ModelMakerEngine]], ModelMaker.Undo",
                        "$values": [
                          {
                            "$id": "93",
                            "$type": "ModelMakerEngine.TimeStepPeriodEndBasisPair, ModelMakerEngine",
                            "TimeStep": 8,
                            "YearEnd": 1003
                          }
                        ]
                      },
                      "YearEndMonth": 0,
                      "AllowTitleChange": true,
                      "IsDuplicate": false,
                      "Title": "Balance Sheet",
                      "ReportLinesCalculated": {
                        "$type": "System.Collections.Generic.List`1[[ModelMakerEngine.IReportLine, ModelMakerEngine]], mscorlib",
                        "$values": []
                      },
                      "ReportLines": {
                        "$type": "ModelMaker.UndoableCollection`1[[ModelMakerEngine.IReportLine, ModelMakerEngine]], ModelMaker.Undo",
                        "$values": [
                          {
                            "$id": "94",
                            "$type": "ModelMaker.ReportLine, ModelMaker",
                            "AssociatedSchematicNode": {
                              "$id": "95",
                              "$type": "ModelMaker.StockNode, ModelMaker",
                              "OpeningOrActualsName": "",
                              "InFlows": {
                                "$type": "System.Collections.Generic.List`1[[ModelMakerEngine.IEquationNode, ModelMakerEngine]], mscorlib",
                                "$values": [
                                  {
                                    "$id": "96",
                                    "$type": "ModelMaker.VariableNode, ModelMaker",
                                    "RowTotalDependent": null,
                                    "PutCalculationOnReport": false,
                                    "CalculateOnThisReport": null,
                                    "PivotTableLink": null,
                                    "ExcelNameName": "Units_ordere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02db936f-ffb0-4758-a2f3-c7bff153ccb1",
                                    "Dimensions": {
                                      "$type": "ModelMakerEngine.MMDimensions, ModelMakerEngine",
                                      "$values": []
                                    },
                                    "EquationOBXInternal": "IF([Use short term forecast flag] =1, [STF Units ordered] , [Order Quantity])",
                                    "NameOfGroup": "Inventory",
                                    "EquationToParse": "IF([Use short term forecast flag] =1, [STF Units ordered] , [Order Quantity])",
                                    "MostRecentExpectedUnitErrors": {
                                      "$type": "System.Collections.Generic.List`1[[System.String, mscorlib]], mscorlib",
                                      "$values": [
                                        "The TRUE part of the IF function measured in GBP but the FALSE part measured in Units"
                                      ]
                                    },
                                    "Units": {
                                      "$id": "9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ordered",
                                    "ReportLines": {
                                      "$type": "ModelMaker.UndoableCollection`1[[ModelMakerEngine.IReportLine, ModelMakerEngine]], ModelMaker.Undo",
                                      "$values": [
                                        {
                                          "$id": "98",
                                          "$type": "ModelMaker.ReportLine, ModelMaker",
                                          "AssociatedSchematicNode": {
                                            "$ref": "96"
                                          },
                                          "OpeningBalanceFlagAppliedName": "",
                                          "SumOfAboveIncludesPreviousTotal": false,
                                          "LastNameUsed": null,
                                          "SwitchSignForReport": false,
                                          "IsSumOfAbove": false,
                                          "ParentReport": {
                                            "$id": "99",
                                            "$type": "ModelMaker.Report, ModelMaker",
                                            "TimeStep": 8,
                                            "YearEndBasis": 1003,
                                            "TimeStepYearEndBasisPairs": {
                                              "$type": "ModelMaker.UndoableCollection`1[[ModelMakerEngine.TimeStepPeriodEndBasisPair, ModelMakerEngine]], ModelMaker.Undo",
                                              "$values": [
                                                {
                                                  "$id": "100",
                                                  "$type": "ModelMakerEngine.TimeStepPeriodEndBasisPair, ModelMakerEngine",
                                                  "TimeStep": 8,
                                                  "YearEnd": 1003
                                                }
                                              ]
                                            },
                                            "YearEndMonth": 0,
                                            "AllowTitleChange": true,
                                            "IsDuplicate": false,
                                            "Title": "Inventory Report",
                                            "ReportLinesCalculated": {
                                              "$type": "System.Collections.Generic.List`1[[ModelMakerEngine.IReportLine, ModelMakerEngine]], mscorlib",
                                              "$values": []
                                            },
                                            "ReportLines": {
                                              "$type": "ModelMaker.UndoableCollection`1[[ModelMakerEngine.IReportLine, ModelMakerEngine]], ModelMaker.Undo",
                                              "$values": [
                                                {
                                                  "$id": "101",
                                                  "$type": "ModelMaker.ReportLine, ModelMaker",
                                                  "AssociatedSchematicNode": {
                                                    "$id": "102",
                                                    "$type": "ModelMaker.VariableNode, ModelMaker",
                                                    "RowTotalDependent": null,
                                                    "PutCalculationOnReport": false,
                                                    "CalculateOnThisReport": null,
                                                    "PivotTableLink": null,
                                                    "ExcelNameName": "New_customer_order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83735bbc-9f57-4e0f-bf68-66457cc26a87",
                                                    "Dimensions": {
                                                      "$type": "ModelMakerEngine.MMDimensions, ModelMakerEngine",
                                                      "$values": []
                                                    },
                                                    "EquationOBXInternal": "IF([Use short term forecast flag] =1, [STF New Customer orders] , IF( [Period number] = 1, [Customer base order number], PREVIOUSVALUE() *(1+[Monthly Growth Rate])))",
                                                    "NameOfGroup": "Customers",
                                                    "EquationToParse": "IF([Use short term forecast flag] =1, [STF New Customer orders] , IF( [Period number] = 1, [Customer base order number], PREVIOUSVALUE() *(1+[Monthly Growth Rate])))",
                                                    "MostRecentExpectedUnitErrors": {
                                                      "$type": "System.Collections.Generic.List`1[[System.String, mscorlib]], mscorlib",
                                                      "$values": [
                                                        "The TRUE part of the IF function measured in GBP but the FALSE part measured in Units"
                                                      ]
                                                    },
                                                    "Units": {
                                                      "$id": "10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New customer orders",
                                                    "ReportLines": {
                                                      "$type": "ModelMaker.UndoableCollection`1[[ModelMakerEngine.IReportLine, ModelMakerEngine]], ModelMaker.Undo",
                                                      "$values": [
                                                        {
                                                          "$ref": "10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id": "104",
                                                  "$type": "ModelMaker.ReportLine, ModelMaker",
                                                  "AssociatedSchematicNode": {
                                                    "$id": "105",
                                                    "$type": "ModelMaker.VariableNode, ModelMaker",
                                                    "RowTotalDependent": null,
                                                    "PutCalculationOnReport": false,
                                                    "CalculateOnThisReport": null,
                                                    "PivotTableLink": null,
                                                    "ExcelNameName": "Renewing_Customer_Order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db90be19-f97a-4552-b1d0-0066a8e79bbc",
                                                    "Dimensions": {
                                                      "$type": "ModelMakerEngine.MMDimensions, ModelMakerEngine",
                                                      "$values": []
                                                    },
                                                    "EquationOBXInternal": " [Customer Retention] * DELAY([New customer orders],24,0)",
                                                    "NameOfGroup": "Customers",
                                                    "EquationToParse": " [Customer Retention] * DELAY([New customer orders],24,0)",
                                                    "MostRecentExpectedUnitErrors": null,
                                                    "Units": {
                                                      "$id": "10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Renewing Customer Orders",
                                                    "ReportLines": {
                                                      "$type": "ModelMaker.UndoableCollection`1[[ModelMakerEngine.IReportLine, ModelMakerEngine]], ModelMaker.Undo",
                                                      "$values": [
                                                        {
                                                          "$ref": "10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id": "107",
                                                  "$type": "ModelMaker.ReportLine, ModelMaker",
                                                  "AssociatedSchematicNode": {
                                                    "$id": "108",
                                                    "$type": "ModelMaker.StockNode, ModelMaker",
                                                    "OpeningOrActualsName": "",
                                                    "InFlows": {
                                                      "$type": "System.Collections.Generic.List`1[[ModelMakerEngine.IEquationNode, ModelMakerEngine]], mscorlib",
                                                      "$values": [
                                                        {
                                                          "$ref": "102"
                                                        },
                                                        {
                                                          "$ref": "105"
                                                        }
                                                      ]
                                                    },
                                                    "OutFlows": {
                                                      "$type": "System.Collections.Generic.List`1[[ModelMakerEngine.IEquationNode, ModelMakerEngine]], mscorlib",
                                                      "$values": [
                                                        {
                                                          "$id": "10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93f7a9e-5994-4a8c-8e68-57abefaf88f8",
                                                          "Dimensions": {
                                                            "$type": "ModelMakerEngine.MMDimensions, ModelMakerEngine",
                                                            "$values": []
                                                          },
                                                          "EquationOBXInternal": "IF(BEG([Units in stock]) >0, IF(BEG([Customer Orders Awaiting Fullfilment]) > BEG([Units in stock]), BEG([Units in stock]), BEG([Customer Orders Awaiting Fullfilment])),0)",
                                                          "NameOfGroup": "Customers",
                                                          "EquationToParse": "IF([Units in stock!!BEG] >0, IF([Customer Orders Awaiting Fullfilment!!BEG] > [Units in stock!!BEG], [Units in stock!!BEG], [Customer Orders Awaiting Fullfilment!!BEG]),0)",
                                                          "MostRecentExpectedUnitErrors": null,
                                                          "Units": {
                                                            "$id": "110",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orders fullfilled",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"Customer Orders Awaiting Fullfilment",
                                                    "HasDefaultEquation": false,
                                                    "NonStandardBalanceFormula": false,
                                                    "EquationOBXInternal": "IF([Period number]=0,[Opening Customer Orders Awaiting Fullfilment],BEG() + [New customer orders] + [Renewing Customer Orders] - [Customer orders fullfilled]) ",
                                                    "InitialOpeningVariable": null,
                                                    "Units": {
                                                      "$id": "111",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"Customer_Orders_Awaiting_Fullfilment.BEG",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"48d25d0c-8cd0-40de-8a03-b725ae6192db",
                                                    "Dimensions": {
                                                      "$type": "ModelMakerEngine.MMDimensions, ModelMakerEngine",
                                                      "$values": []
                                                    },
                                                    "NameOfGroup": "Customers",
                                                    "EquationToParse": "IF([Period number]=0,[Opening Customer Orders Awaiting Fullfilment],BEG() + [New customer orders] + [Renewing Customer Orders] - [Customer orders fullfilled]) ",
                                                    "MostRecentExpectedUnitErrors": null,
                                                    "ReportLines": {
                                                      "$type": "ModelMaker.UndoableCollection`1[[ModelMakerEngine.IReportLine, ModelMakerEngine]], ModelMaker.Undo",
                                                      "$values": [
                                                        {
                                                          "$ref": "107"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"$ref": "98"
                                                },
                                                {
                                                  "$id": "112",
                                                  "$type": "ModelMaker.ReportLine, ModelMaker",
                                                  "AssociatedSchematicNode": {
                                                    "$id": "113",
                                                    "$type": "ModelMaker.StockNode, ModelMaker",
                                                    "OpeningOrActualsName": "",
                                                    "InFlows": {
                                                      "$type": "System.Collections.Generic.List`1[[ModelMakerEngine.IEquationNode, ModelMakerEngine]], mscorlib",
                                                      "$values": [
                                                        {
                                                          "$ref": "96"
                                                        }
                                                      ]
                                                    },
                                                    "OutFlows": {
                                                      "$type": "System.Collections.Generic.List`1[[ModelMakerEngine.IEquationNode, ModelMakerEngine]], mscorlib",
                                                      "$values": [
                                                        {
                                                          "$id": "114",
                                                          "$type": "ModelMaker.VariableNode, ModelMaker",
                                                          "RowTotalDependent": null,
                                                          "PutCalculationOnReport": false,
                                                          "CalculateOnThisReport": null,
                                                          "PivotTableLink": null,
                                                          "ExcelNameName": "Units_delivered",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"2c67f3e1-851e-48f0-a6c1-cf16ac85dd2b",
                                                          "Dimensions": {
                                                            "$type": "ModelMakerEngine.MMDimensions, ModelMakerEngine",
                                                            "$values": []
                                                          },
                                                          "EquationOBXInternal": "IF([Use short term forecast flag] =1, [STF Units delivered], DELAY([Units ordered], [Order lead time (months)],0))",
                                                          "NameOfGroup": "Inventory",
                                                          "EquationToParse": "IF([Use short term forecast flag] =1, [STF Units delivered], DELAY([Units ordered], [Order lead time (months)],0))",
                                                          "MostRecentExpectedUnitErrors": {
                                                            "$type": "System.Collections.Generic.List`1[[System.String, mscorlib]], mscorlib",
                                                            "$values": [
                                                              "The TRUE part of the IF function measured in GBP but the FALSE part measured in Units"
                                                            ]
                                                          },
                                                          "Units": {
                                                            "$id": "115",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delivered",
                                                          "ReportLines": {
                                                            "$type": "ModelMaker.UndoableCollection`1[[ModelMakerEngine.IReportLine, ModelMakerEngine]], ModelMaker.Undo",
                                                            "$values": [
                                                              {
                                                                "$id": "116",
                                                                "$type": "ModelMaker.ReportLine, ModelMaker",
                                                                "AssociatedSchematicNode": {
                                                                  "$ref": "114"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on order",
                                                    "HasDefaultEquation": false,
                                                    "NonStandardBalanceFormula": false,
                                                    "EquationOBXInternal": "IF([Period number]=0,[Opening Units on order],BEG() + [Units ordered] - [Units delivered]) ",
                                                    "InitialOpeningVariable": null,
                                                    "Units": {
                                                      "$id": "117",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"Units_on_order.BEG",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"12541571-29dd-4567-9de8-47583257f7c8",
                                                    "Dimensions": {
                                                      "$type": "ModelMakerEngine.MMDimensions, ModelMakerEngine",
                                                      "$values": []
                                                    },
                                                    "NameOfGroup": "Inventory",
                                                    "EquationToParse": "IF([Period number]=0,[Opening Units on order],BEG() + [Units ordered] - [Units delivered]) ",
                                                    "MostRecentExpectedUnitErrors": null,
                                                    "ReportLines": {
                                                      "$type": "ModelMaker.UndoableCollection`1[[ModelMakerEngine.IReportLine, ModelMakerEngine]], ModelMaker.Undo",
                                                      "$values": [
                                                        {
                                                          "$ref": "112"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"$ref": "116"
                                                },
                                                {
                                                  "$id": "118",
                                                  "$type": "ModelMaker.ReportLine, ModelMaker",
                                                  "AssociatedSchematicNode": {
                                                    "$id": "119",
                                                    "$type": "ModelMaker.VariableNode, ModelMaker",
                                                    "RowTotalDependent": null,
                                                    "PutCalculationOnReport": false,
                                                    "CalculateOnThisReport": null,
                                                    "PivotTableLink": null,
                                                    "ExcelNameName": "Deployed_units_returned",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"6b7e32fc-3e33-4488-916a-a726bfa3953b",
                                                    "Dimensions": {
                                                      "$type": "ModelMakerEngine.MMDimensions, ModelMakerEngine",
                                                      "$values": []
                                                    },
                                                    "EquationOBXInternal": "DELAY([New customer orders], [Contract Length],0) + DELAY([Renewing Customer Orders],[Contract Length],0)",
                                                    "NameOfGroup": "Inventory",
                                                    "EquationToParse": "DELAY([New customer orders], [Contract Length],0) + DELAY([Renewing Customer Orders],[Contract Length],0)",
                                                    "MostRecentExpectedUnitErrors": null,
                                                    "Units": {
                                                      "$id": "120",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"Deployed units returned",
                                                    "ReportLines": {
                                                      "$type": "ModelMaker.UndoableCollection`1[[ModelMakerEngine.IReportLine, ModelMakerEngine]], ModelMaker.Undo",
                                                      "$values": [
                                                        {
                                                          "$ref": "118"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"$id": "121",
                                                  "$type": "ModelMaker.ReportLine, ModelMaker",
                                                  "AssociatedSchematicNode": {
                                                    "$id": "122",
                                                    "$type": "ModelMaker.StockNode, ModelMaker",
                                                    "OpeningOrActualsName": "",
                                                    "InFlows": {
                                                      "$type": "System.Collections.Generic.List`1[[ModelMakerEngine.IEquationNode, ModelMakerEngine]], mscorlib",
                                                      "$values": [
                                                        {
                                                          "$ref": "114"
                                                        },
                                                        {
                                                          "$id": "123",
                                                          "$type": "ModelMaker.VariableNode, ModelMaker",
                                                          "RowTotalDependent": null,
                                                          "PutCalculationOnReport": false,
                                                          "CalculateOnThisReport": null,
                                                          "PivotTableLink": null,
                                                          "ExcelNameName": "Units_retired",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"278979a5-5aed-4ae2-b4d0-f38e6c69bab9",
                                                          "Dimensions": {
                                                            "$type": "ModelMakerEngine.MMDimensions, ModelMakerEngine",
                                                            "$values": []
                                                          },
                                                          "EquationOBXInternal": " [Deployed units returned]",
                                                          "NameOfGroup": "Inventory",
                                                          "EquationToParse": " [Deployed units returned]",
                                                          "MostRecentExpectedUnitErrors": null,
                                                          "Units": {
                                                            "$id": "124",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retired",
                                                          "ReportLines": {
                                                            "$type": "ModelMaker.UndoableCollection`1[[ModelMakerEngine.IReportLine, ModelMakerEngine]], ModelMaker.Undo",
                                                            "$values": [
                                                              {
                                                                "$id": "125",
                                                                "$type": "ModelMaker.ReportLine, ModelMaker",
                                                                "AssociatedSchematicNode": {
                                                                  "$ref": "123"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9,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"$id": "126",
                                                          "$type": "ModelMaker.VariableNode, ModelMaker",
                                                          "RowTotalDependent": null,
                                                          "PutCalculationOnReport": false,
                                                          "CalculateOnThisReport": null,
                                                          "PivotTableLink": null,
                                                          "ExcelNameName": "Units_deployed",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"5bdcfe34-cdd3-4790-b8ea-f7c25352568d",
                                                          "Dimensions": {
                                                            "$type": "ModelMakerEngine.MMDimensions, ModelMakerEngine",
                                                            "$values": []
                                                          },
                                                          "EquationOBXInternal": "[Customer orders fullfilled]",
                                                          "NameOfGroup": "Inventory",
                                                          "EquationToParse": "[Customer orders fullfilled]",
                                                          "MostRecentExpectedUnitErrors": null,
                                                          "Units": {
                                                            "$id": "127",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deployed",
                                                          "ReportLines": {
                                                            "$type": "ModelMaker.UndoableCollection`1[[ModelMakerEngine.IReportLine, ModelMakerEngine]], ModelMaker.Undo",
                                                            "$values": [
                                                              {
                                                                "$id": "128",
                                                                "$type": "ModelMaker.ReportLine, ModelMaker",
                                                                "AssociatedSchematicNode": {
                                                                  "$ref": "126"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"119"
                                                        }
                                                      ]
                                                    },
                                                    "FlagApplied": null,
                                                    "ActualsFlag": null,
                                                    "Name": "Units in stock",
                                                    "HasDefaultEquation": false,
                                                    "NonStandardBalanceFormula": false,
                                                    "EquationOBXInternal": "IF([Period number]=0,[Opening Units in stock],BEG() + [Units delivered] - [Units deployed] + [Deployed units returned] - [Units retired]) ",
                                                    "InitialOpeningVariable": null,
                                                    "Units": {
                                                      "$id": "129",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"Units_in_stock.BEG",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"e9d1ab6e-197f-467d-a5bf-9e75c309b29d",
                                                    "Dimensions": {
                                                      "$type": "ModelMakerEngine.MMDimensions, ModelMakerEngine",
                                                      "$values": []
                                                    },
                                                    "NameOfGroup": "Inventory",
                                                    "EquationToParse": "IF([Period number]=0,[Opening Units in stock],BEG() + [Units delivered] - [Units deployed] + [Deployed units returned] - [Units retired]) ",
                                                    "MostRecentExpectedUnitErrors": null,
                                                    "ReportLines": {
                                                      "$type": "ModelMaker.UndoableCollection`1[[ModelMakerEngine.IReportLine, ModelMakerEngine]], ModelMaker.Undo",
                                                      "$values": [
                                                        {
                                                          "$ref": "121"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"$ref": "128"
                                                },
                                                {
                                                  "$id": "130",
                                                  "$type": "ModelMaker.ReportLine, ModelMaker",
                                                  "AssociatedSchematicNode": {
                                                    "$id": "131",
                                                    "$type": "ModelMaker.StockNode, ModelMaker",
                                                    "OpeningOrActualsName": "",
                                                    "InFlows": {
                                                      "$type": "System.Collections.Generic.List`1[[ModelMakerEngine.IEquationNode, ModelMakerEngine]], mscorlib",
                                                      "$values": [
                                                        {
                                                          "$ref": "126"
                                                        }
                                                      ]
                                                    },
                                                    "OutFlows": {
                                                      "$type": "System.Collections.Generic.List`1[[ModelMakerEngine.IEquationNode, ModelMakerEngine]], mscorlib",
                                                      "$values": [
                                                        {
                                                          "$ref": "119"
                                                        }
                                                      ]
                                                    },
                                                    "FlagApplied": null,
                                                    "ActualsFlag": null,
                                                    "Name": "Units in use",
                                                    "HasDefaultEquation": false,
                                                    "NonStandardBalanceFormula": false,
                                                    "EquationOBXInternal": "IF([Period number]=0,[Opening Units in use],BEG()+[Units deployed] - [Deployed units returned]) ",
                                                    "InitialOpeningVariable": null,
                                                    "Units": {
                                                      "$id": "132",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"Units_in_use.BEG",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"fe5f2c6b-3e59-4034-bd8d-eda2fcaa68f8",
                                                    "Dimensions": {
                                                      "$type": "ModelMakerEngine.MMDimensions, ModelMakerEngine",
                                                      "$values": []
                                                    },
                                                    "NameOfGroup": "Inventory",
                                                    "EquationToParse": "IF([Period number]=0,[Opening Units in use],BEG()+[Units deployed] - [Deployed units returned]) ",
                                                    "MostRecentExpectedUnitErrors": null,
                                                    "ReportLines": {
                                                      "$type": "ModelMaker.UndoableCollection`1[[ModelMakerEngine.IReportLine, ModelMakerEngine]], ModelMaker.Undo",
                                                      "$values": [
                                                        {
                                                          "$ref": "130"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"$ref": "125"
                                                },
                                                {
                                                  "$id": "133",
                                                  "$type": "ModelMaker.ReportLine, ModelMaker",
                                                  "AssociatedSchematicNode": {
                                                    "$id": "134",
                                                    "$type": "ModelMaker.StockNode, ModelMaker",
                                                    "OpeningOrActualsName": "",
                                                    "InFlows": {
                                                      "$type": "System.Collections.Generic.List`1[[ModelMakerEngine.IEquationNode, ModelMakerEngine]], mscorlib",
                                                      "$values": [
                                                        {
                                                          "$ref": "123"
                                                        }
                                                      ]
                                                    },
                                                    "OutFlows": {
                                                      "$type": "System.Collections.Generic.List`1[[ModelMakerEngine.IEquationNode, ModelMakerEngine]], mscorlib",
                                                      "$values": []
                                                    },
                                                    "FlagApplied": null,
                                                    "ActualsFlag": null,
                                                    "Name": "Total Units retired",
                                                    "HasDefaultEquation": false,
                                                    "NonStandardBalanceFormula": false,
                                                    "EquationOBXInternal": "IF([Period number]=0,[Opening Total Units retired],BEG() + [Units retired] )   ",
                                                    "InitialOpeningVariable": null,
                                                    "Units": {
                                                      "$id": "135",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"Total_Units_retired.BEG",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"66461bb8-d215-4f3e-b56b-8230397ee139",
                                                    "Dimensions": {
                                                      "$type": "ModelMakerEngine.MMDimensions, ModelMakerEngine",
                                                      "$values": []
                                                    },
                                                    "NameOfGroup": "Inventory",
                                                    "EquationToParse": "IF([Period number]=0,[Opening Total Units retired],BEG() + [Units retired] )   ",
                                                    "MostRecentExpectedUnitErrors": null,
                                                    "ReportLines": {
                                                      "$type": "ModelMaker.UndoableCollection`1[[ModelMakerEngine.IReportLine, ModelMakerEngine]], ModelMaker.Undo",
                                                      "$values": [
                                                        {
                                                          "$ref": "133"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"99"
                                                  },
                                                  "HeadingLevel": 0,
                                                  "ReportFormatName": null,
                                                  "YPosition": -1,
                                                  "Visible": true,
                                                  "Font": null,
                                                  "AllowIncomingLinks": true,
                                                  "AllowOutgoingLinks": true,
                                                  "Deletable": true,
                                                  "Issues": null
                                                }
                                              ]
                                            },
                                            "AllowIncomingLinks": false,
                                            "AllowOutgoingLinks": false,
                                            "YPosition": -1,
                                            "Name": "Inventory Report",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"136",
                                    "$type": "ModelMaker.VariableNode, ModelMaker",
                                    "RowTotalDependent": null,
                                    "PutCalculationOnReport": false,
                                    "CalculateOnThisReport": null,
                                    "PivotTableLink": null,
                                    "ExcelNameName": "Supplier_price_per_unit",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"137",
                                          "$type": "ModelMaker.DimensionedArrayValues, ModelMaker",
                                          "Elements": {
                                            "$type": "ModelMakerEngine.MMElements, ModelMakerEngine",
                                            "$values": []
                                          },
                                          "Values": {
                                            "$type": "System.Collections.Generic.List`1[[System.Object, mscorlib]], mscorlib",
                                            "$values": [
                                              35.0,
                                              0.0,
                                              null,
                                              null,
                                              null,
                                              null,
                                              null,
                                              null
                                            ]
                                          }
                                        }
                                      ]
                                    },
                                    "NonPrimaryInput": false,
                                    "Max": "NaN",
                                    "Min": "NaN",
                                    "IsBalanceButNotCorkscrew": false,
                                    "IsEditable": true,
                                    "IsConstant": true,
                                    "UniqueID": "2761ee2f-5dbf-44dc-94b4-005583bf1495",
                                    "Dimensions": {
                                      "$type": "ModelMakerEngine.MMDimensions, ModelMakerEngine",
                                      "$values": []
                                    },
                                    "EquationOBXInternal": "{35,0,,,,,,}",
                                    "NameOfGroup": "Inputs.Inventory",
                                    "EquationToParse": "{35,0,,,,,,}",
                                    "MostRecentExpectedUnitErrors": null,
                                    "Units": {
                                      "$ref": "2"
                                    },
                                    "Name": "Supplier price per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"123"
                                  }
                                ]
                              },
                              "FlagApplied": null,
                              "ActualsFlag": null,
                              "Name": "Inventory",
                              "HasDefaultEquation": false,
                              "NonStandardBalanceFormula": true,
                              "EquationOBXInternal": "IF([Period number]=0,[Opening Inventory],BEG() + (([Units ordered] - [Units retired] ) * [Supplier price per unit]))",
                              "InitialOpeningVariable": null,
                              "Units": {
                                "$id": "138",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"Inventory.BEG",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"1730fc51-9900-47da-9e9c-d6f4d1413259",
                              "Dimensions": {
                                "$type": "ModelMakerEngine.MMDimensions, ModelMakerEngine",
                                "$values": []
                              },
                              "NameOfGroup": "Unallocated",
                              "EquationToParse": "IF([Period number]=0,[Opening Inventory],BEG() + (([Units ordered] - [Units retired] ) * [Supplier price per unit]))",
                              "MostRecentExpectedUnitErrors": {
                                "$type": "System.Collections.Generic.List`1[[System.String, mscorlib]], mscorlib",
                                "$values": [
                                  "The TRUE part of the IF function measured in GBP but the FALSE part measured in UNITS * GBP"
                                ]
                              },
                              "ReportLines": {
                                "$type": "ModelMaker.UndoableCollection`1[[ModelMakerEngine.IReportLine, ModelMakerEngine]], ModelMaker.Undo",
                                "$values": [
                                  {
                                    "$ref": "94"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"139",
                            "$type": "ModelMaker.ReportLine, ModelMaker",
                            "AssociatedSchematicNode": {
                              "$id": "140",
                              "$type": "ModelMaker.StockNode, ModelMaker",
                              "OpeningOrActualsName": "",
                              "InFlows": {
                                "$type": "System.Collections.Generic.List`1[[ModelMakerEngine.IEquationNode, ModelMakerEngine]], mscorlib",
                                "$values": [
                                  {
                                    "$ref": "71"
                                  }
                                ]
                              },
                              "OutFlows": {
                                "$type": "System.Collections.Generic.List`1[[ModelMakerEngine.IEquationNode, ModelMakerEngine]], mscorlib",
                                "$values": [
                                  {
                                    "$ref": "123"
                                  },
                                  {
                                    "$ref": "136"
                                  }
                                ]
                              },
                              "FlagApplied": null,
                              "ActualsFlag": null,
                              "Name": "Depreciation",
                              "HasDefaultEquation": false,
                              "NonStandardBalanceFormula": true,
                              "EquationOBXInternal": "IF([Period number]=0,[Opening Depreciation], BEG() + [Depreciation this period] - ([Units retired]*[Supplier price per unit])) ",
                              "InitialOpeningVariable": null,
                              "Units": {
                                "$id": "141",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"Depreciation.BEG",
                              "ExcelNameNames": {
                                "$type": "ModelMakerEngine.ExcelNameDictionary, ModelMakerEngine",
                                "$values": []
                              },
                              "NumberFormatOverride": null,
                              "Deletable": true,
                              "Comment": "",
                              "HasSwitchSignLine": true,
                              "SwitchSignForReport": true,
                              "MultipleInputValues": null,
                              "NonPrimaryInput": false,
                              "Max": "NaN",
                              "Min": "NaN",
                              "IsBalanceButNotCorkscrew": false,
                              "IsEditable": true,
                              "IsConstant": false,
                              "UniqueID": "718a3066-9eb6-4a7f-bf37-acdcdf556e26",
                              "Dimensions": {
                                "$type": "ModelMakerEngine.MMDimensions, ModelMakerEngine",
                                "$values": []
                              },
                              "NameOfGroup": "Assets",
                              "EquationToParse": "IF([Period number]=0,[Opening Depreciation], BEG() + [Depreciation this period] - ([Units retired]*[Supplier price per unit])) ",
                              "MostRecentExpectedUnitErrors": null,
                              "ReportLines": {
                                "$type": "ModelMaker.UndoableCollection`1[[ModelMakerEngine.IReportLine, ModelMakerEngine]], ModelMaker.Undo",
                                "$values": [
                                  {
                                    "$ref": "139"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"92"
                            },
                            "HeadingLevel": 0,
                            "ReportFormatName": null,
                            "YPosition": -1,
                            "Visible": true,
                            "Font": null,
                            "AllowIncomingLinks": true,
                            "AllowOutgoingLinks": true,
                            "Deletable": true,
                            "Issues": null
                          },
                          {
                            "$id": "142",
                            "$type": "ModelMaker.ReportLine, ModelMaker",
                            "AssociatedSchematicNode": {
                              "$id": "143",
                              "$type": "ModelMaker.StockNode, ModelMaker",
                              "OpeningOrActualsName": "",
                              "InFlows": {
                                "$type": "System.Collections.Generic.List`1[[ModelMakerEngine.IEquationNode, ModelMakerEngine]], mscorlib",
                                "$values": [
                                  {
                                    "$id": "144",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"1c7975d7-9e73-4e2d-9c5f-74ffe591a257",
                                    "Dimensions": {
                                      "$type": "ModelMakerEngine.MMDimensions, ModelMakerEngine",
                                      "$values": []
                                    },
                                    "EquationOBXInternal": "([Customer orders fullfilled] * [Invoice Term] * [Sales Price Unit]) + (DELAY([Customer orders fullfilled], [Invoice Term],0 ) * [Invoice Term] * [Sales Price Unit])",
                                    "NameOfGroup": "Financials",
                                    "EquationToParse": "([Customer orders fullfilled] * [Invoice Term] * [Sales Price Unit]) + (DELAY([Customer orders fullfilled], [Invoice Term],0 ) * [Invoice Term] * [Sales Price Unit])",
                                    "MostRecentExpectedUnitErrors": null,
                                    "Units": {
                                      "$id": "145",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"New Deferred Income from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"146",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"fab927f2-4f61-4b61-a9f5-d6fe88c4b7b9",
                                    "Dimensions": {
                                      "$type": "ModelMakerEngine.MMDimensions, ModelMakerEngine",
                                      "$values": []
                                    },
                                    "EquationOBXInternal": " [New Deferred Income from customer orders] * [VAT rate]",
                                    "NameOfGroup": "VAT",
                                    "EquationToParse": " [New Deferred Income from customer orders] * [VAT rate]",
                                    "MostRecentExpectedUnitErrors": null,
                                    "Units": {
                                      "$id": "147",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"Output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"9"
                                  }
                                ]
                              },
                              "FlagApplied": null,
                              "ActualsFlag": null,
                              "Name": "Debtors",
                              "HasDefaultEquation": false,
                              "NonStandardBalanceFormula": false,
                              "EquationOBXInternal": "IF([Period number]=0,[Opening Debtors],BEG()  + [New Deferred Income from customer orders] + [Output VAT]- [Cash in from Sales])  ",
                              "InitialOpeningVariable": null,
                              "Units": {
                                "$id": "148",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"Debtors.BEG",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"2103e01d-367e-4d77-aded-d120d362609d",
                              "Dimensions": {
                                "$type": "ModelMakerEngine.MMDimensions, ModelMakerEngine",
                                "$values": []
                              },
                              "NameOfGroup": "Financials",
                              "EquationToParse": "IF([Period number]=0,[Opening Debtors],BEG()  + [New Deferred Income from customer orders] + [Output VAT]- [Cash in from Sales])  ",
                              "MostRecentExpectedUnitErrors": null,
                              "ReportLines": {
                                "$type": "ModelMaker.UndoableCollection`1[[ModelMakerEngine.IReportLine, ModelMakerEngine]], ModelMaker.Undo",
                                "$values": [
                                  {
                                    "$ref": "142"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"149",
                            "$type": "ModelMaker.ReportLine, ModelMaker",
                            "AssociatedSchematicNode": {
                              "$id": "150",
                              "$type": "ModelMaker.StockNode, ModelMaker",
                              "OpeningOrActualsName": "",
                              "InFlows": {
                                "$type": "System.Collections.Generic.List`1[[ModelMakerEngine.IEquationNode, ModelMakerEngine]], mscorlib",
                                "$values": [
                                  {
                                    "$ref": "4"
                                  }
                                ]
                              },
                              "OutFlows": {
                                "$type": "System.Collections.Generic.List`1[[ModelMakerEngine.IEquationNode, ModelMakerEngine]], mscorlib",
                                "$values": []
                              },
                              "FlagApplied": null,
                              "ActualsFlag": null,
                              "Name": "Cash",
                              "HasDefaultEquation": false,
                              "NonStandardBalanceFormula": false,
                              "EquationOBXInternal": "IF([Period number]=0,[Opening Cash],BEG() + [Net Cashflow] ) ",
                              "InitialOpeningVariable": null,
                              "Units": {
                                "$ref": "2"
                              },
                              "Visible": true,
                              "RowTotalDependent": null,
                              "PutCalculationOnReport": false,
                              "CalculateOnThisReport": null,
                              "PivotTableLink": null,
                              "ExcelNameName": "Cash.BEG",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"8942a4ea-5244-4eec-ab36-d11ed9591f83",
                              "Dimensions": {
                                "$type": "ModelMakerEngine.MMDimensions, ModelMakerEngine",
                                "$values": []
                              },
                              "NameOfGroup": "Unallocated",
                              "EquationToParse": "IF([Period number]=0,[Opening Cash],BEG() + [Net Cashflow] ) ",
                              "MostRecentExpectedUnitErrors": null,
                              "ReportLines": {
                                "$type": "ModelMaker.UndoableCollection`1[[ModelMakerEngine.IReportLine, ModelMakerEngine]], ModelMaker.Undo",
                                "$values": [
                                  {
                                    "$ref": "149"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"$ref": "91"
                          },
                          {
                            "$id": "151",
                            "$type": "ModelMaker.ReportLine, ModelMaker",
                            "AssociatedSchematicNode": {
                              "$id": "152",
                              "$type": "ModelMaker.StockNode, ModelMaker",
                              "OpeningOrActualsName": "",
                              "InFlows": {
                                "$type": "System.Collections.Generic.List`1[[ModelMakerEngine.IEquationNode, ModelMakerEngine]], mscorlib",
                                "$values": [
                                  {
                                    "$ref": "144"
                                  }
                                ]
                              },
                              "OutFlows": {
                                "$type": "System.Collections.Generic.List`1[[ModelMakerEngine.IEquationNode, ModelMakerEngine]], mscorlib",
                                "$values": [
                                  {
                                    "$ref": "62"
                                  }
                                ]
                              },
                              "FlagApplied": null,
                              "ActualsFlag": null,
                              "Name": "Deferred Income",
                              "HasDefaultEquation": false,
                              "NonStandardBalanceFormula": false,
                              "EquationOBXInternal": "IF([Period number]=0,[Opening Deferred Income],BEG()+ [New Deferred Income from customer orders] - [Income] )",
                              "InitialOpeningVariable": null,
                              "Units": {
                                "$id": "153",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"Deferred_Income.BEG",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"c7af7bd1-2a94-426b-a65e-508a559497ac",
                              "Dimensions": {
                                "$type": "ModelMakerEngine.MMDimensions, ModelMakerEngine",
                                "$values": []
                              },
                              "NameOfGroup": "Financials",
                              "EquationToParse": "IF([Period number]=0,[Opening Deferred Income],BEG()+ [New Deferred Income from customer orders] - [Income] )",
                              "MostRecentExpectedUnitErrors": null,
                              "ReportLines": {
                                "$type": "ModelMaker.UndoableCollection`1[[ModelMakerEngine.IReportLine, ModelMakerEngine]], ModelMaker.Undo",
                                "$values": [
                                  {
                                    "$ref": "151"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"154",
                            "$type": "ModelMaker.ReportLine, ModelMaker",
                            "AssociatedSchematicNode": {
                              "$id": "155",
                              "$type": "ModelMaker.StockNode, ModelMaker",
                              "OpeningOrActualsName": "",
                              "InFlows": {
                                "$type": "System.Collections.Generic.List`1[[ModelMakerEngine.IEquationNode, ModelMakerEngine]], mscorlib",
                                "$values": [
                                  {
                                    "$id": "156",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"27de603b-2402-4ca8-aea6-8b0297dd5d97",
                                    "Dimensions": {
                                      "$type": "ModelMakerEngine.MMDimensions, ModelMakerEngine",
                                      "$values": []
                                    },
                                    "EquationOBXInternal": "[Units ordered]*[Supplier price per unit]",
                                    "NameOfGroup": "Financials",
                                    "EquationToParse": "[Units ordered]*[Supplier price per unit]",
                                    "MostRecentExpectedUnitErrors": null,
                                    "Units": {
                                      "$id": "157",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"Supplier Invoices",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"158",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"de7ecc45-01df-48f9-9502-3b7e852072e4",
                                    "Dimensions": {
                                      "$type": "ModelMakerEngine.MMDimensions, ModelMakerEngine",
                                      "$values": []
                                    },
                                    "EquationOBXInternal": "([Supplier Invoices] * [VAT rate])",
                                    "NameOfGroup": "Inventory",
                                    "EquationToParse": "([Supplier Invoices] * [VAT rate])",
                                    "MostRecentExpectedUnitErrors": null,
                                    "Units": {
                                      "$ref": "2"
                                    },
                                    "Name": "VAT on inventory",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"12"
                                  }
                                ]
                              },
                              "OutFlows": {
                                "$type": "System.Collections.Generic.List`1[[ModelMakerEngine.IEquationNode, ModelMakerEngine]], mscorlib",
                                "$values": [
                                  {
                                    "$ref": "22"
                                  },
                                  {
                                    "$ref": "67"
                                  },
                                  {
                                    "$ref": "65"
                                  },
                                  {
                                    "$id": "159",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"77f8095b-708d-433d-8c89-aa3c84a3e041",
                                    "Dimensions": {
                                      "$type": "ModelMakerEngine.MMDimensions, ModelMakerEngine",
                                      "$values": []
                                    },
                                    "EquationOBXInternal": "[VAT rate] * [Percentage of expense subject to VAT] * ([Fixed operating expense] + [Variable Operating expense]) ",
                                    "NameOfGroup": "Expense",
                                    "EquationToParse": "[VAT rate] * [Percentage of expense subject to VAT] * ([Fixed operating expense] + [Variable Operating expense]) ",
                                    "MostRecentExpectedUnitErrors": null,
                                    "Units": {
                                      "$ref": "2"
                                    },
                                    "Name": "VAT on operating expense",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"Creditors",
                              "HasDefaultEquation": false,
                              "NonStandardBalanceFormula": false,
                              "EquationOBXInternal": "IF([Period number]=0,[Opening Creditors],BEG() + [Supplier Invoices] + [VAT on inventory] - [Cash out on Inventory] + [Fixed operating expense] + [Variable Operating expense] + [VAT on operating expense] - [Cash out on Operating Expense]   ) ",
                              "InitialOpeningVariable": null,
                              "Units": {
                                "$id": "160",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"Creditors.BEG",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"f4c79ffb-5860-4189-b2ee-16abf68ab68f",
                              "Dimensions": {
                                "$type": "ModelMakerEngine.MMDimensions, ModelMakerEngine",
                                "$values": []
                              },
                              "NameOfGroup": "Financials",
                              "EquationToParse": "IF([Period number]=0,[Opening Creditors],BEG() + [Supplier Invoices] + [VAT on inventory] - [Cash out on Inventory] + [Fixed operating expense] + [Variable Operating expense] + [VAT on operating expense] - [Cash out on Operating Expense]   ) ",
                              "MostRecentExpectedUnitErrors": null,
                              "ReportLines": {
                                "$type": "ModelMaker.UndoableCollection`1[[ModelMakerEngine.IReportLine, ModelMakerEngine]], ModelMaker.Undo",
                                "$values": [
                                  {
                                    "$ref": "154"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"161",
                            "$type": "ModelMaker.ReportLine, ModelMaker",
                            "AssociatedSchematicNode": {
                              "$id": "162",
                              "$type": "ModelMaker.StockNode, ModelMaker",
                              "OpeningOrActualsName": "",
                              "InFlows": {
                                "$type": "System.Collections.Generic.List`1[[ModelMakerEngine.IEquationNode, ModelMakerEngine]], mscorlib",
                                "$values": [
                                  {
                                    "$ref": "27"
                                  },
                                  {
                                    "$id": "163",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"01d9f853-bb56-4f69-b2f5-4918305024e6",
                                    "Dimensions": {
                                      "$type": "ModelMakerEngine.MMDimensions, ModelMakerEngine",
                                      "$values": []
                                    },
                                    "EquationOBXInternal": "[Supply Chain Finance interest]-[Supply Chain Finance interest paid]",
                                    "NameOfGroup": "Trade Finance",
                                    "EquationToParse": "[Supply Chain Finance interest]-[Supply Chain Finance interest paid]",
                                    "MostRecentExpectedUnitErrors": null,
                                    "Units": {
                                      "$id": "164",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"30"
                                  }
                                ]
                              },
                              "FlagApplied": null,
                              "ActualsFlag": null,
                              "Name": "Supply Chain Finance balance",
                              "HasDefaultEquation": false,
                              "NonStandardBalanceFormula": false,
                              "EquationOBXInternal": "IF([Period number]=0,[Opening Supply Chain Finance balance],BEG()+[Supply Chain Finance drawdown]+[Supply Chain Finance unpaid interest]-[Supply Chain Finance principal repayment])",
                              "InitialOpeningVariable": null,
                              "Units": {
                                "$id": "165",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"Supply_Chain_Finance_balance.BEG",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"084fee9f-9b7b-499f-94ee-985587480d1c",
                              "Dimensions": {
                                "$type": "ModelMakerEngine.MMDimensions, ModelMakerEngine",
                                "$values": []
                              },
                              "NameOfGroup": "Trade Finance",
                              "EquationToParse": "IF([Period number]=0,[Opening Supply Chain Finance balance],BEG()+[Supply Chain Finance drawdown]+[Supply Chain Finance unpaid interest]-[Supply Chain Finance principal repayment])",
                              "MostRecentExpectedUnitErrors": null,
                              "ReportLines": {
                                "$type": "ModelMaker.UndoableCollection`1[[ModelMakerEngine.IReportLine, ModelMakerEngine]], ModelMaker.Undo",
                                "$values": [
                                  {
                                    "$ref": "161"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"166",
                            "$type": "ModelMaker.ReportLine, ModelMaker",
                            "AssociatedSchematicNode": {
                              "$id": "167",
                              "$type": "ModelMaker.StockNode, ModelMaker",
                              "OpeningOrActualsName": "",
                              "InFlows": {
                                "$type": "System.Collections.Generic.List`1[[ModelMakerEngine.IEquationNode, ModelMakerEngine]], mscorlib",
                                "$values": [
                                  {
                                    "$ref": "33"
                                  },
                                  {
                                    "$id": "168",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"1a4550a1-6f86-4aea-a54e-f7ba9eecdc1e",
                                    "Dimensions": {
                                      "$type": "ModelMakerEngine.MMDimensions, ModelMakerEngine",
                                      "$values": []
                                    },
                                    "EquationOBXInternal": "[Invoice finance interest]-[Invoice finance interest paid]",
                                    "NameOfGroup": "Invoice finance",
                                    "EquationToParse": "[Invoice finance interest]-[Invoice finance interest paid]",
                                    "MostRecentExpectedUnitErrors": null,
                                    "Units": {
                                      "$id": "169",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"36"
                                  }
                                ]
                              },
                              "FlagApplied": null,
                              "ActualsFlag": null,
                              "Name": "Invoice finance balance",
                              "HasDefaultEquation": false,
                              "NonStandardBalanceFormula": false,
                              "EquationOBXInternal": " IF([Period number]=0,[Opening Invoice finance balance],BEG()+[Invoice finance drawdown]+[Invoice finance unpaid interest]-[Invoice finance principal repayment])",
                              "InitialOpeningVariable": null,
                              "Units": {
                                "$id": "170",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"Invoice_finance_balance.BEG",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"3097c19b-bb9b-432b-8a25-a322f990b232",
                              "Dimensions": {
                                "$type": "ModelMakerEngine.MMDimensions, ModelMakerEngine",
                                "$values": []
                              },
                              "NameOfGroup": "Invoice finance",
                              "EquationToParse": " IF([Period number]=0,[Opening Invoice finance balance],BEG()+[Invoice finance drawdown]+[Invoice finance unpaid interest]-[Invoice finance principal repayment])",
                              "MostRecentExpectedUnitErrors": null,
                              "ReportLines": {
                                "$type": "ModelMaker.UndoableCollection`1[[ModelMakerEngine.IReportLine, ModelMakerEngine]], ModelMaker.Undo",
                                "$values": [
                                  {
                                    "$ref": "166"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"171",
                            "$type": "ModelMaker.ReportLine, ModelMaker",
                            "AssociatedSchematicNode": {
                              "$id": "172",
                              "$type": "ModelMaker.StockNode, ModelMaker",
                              "OpeningOrActualsName": "",
                              "InFlows": {
                                "$type": "System.Collections.Generic.List`1[[ModelMakerEngine.IEquationNode, ModelMakerEngine]], mscorlib",
                                "$values": [
                                  {
                                    "$ref": "39"
                                  },
                                  {
                                    "$id": "173",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"ca0c9276-5c3f-43ef-8af3-e21fbd529f51",
                                    "Dimensions": {
                                      "$type": "ModelMakerEngine.MMDimensions, ModelMakerEngine",
                                      "$values": []
                                    },
                                    "EquationOBXInternal": "[Asset Finance interest]-[Asset Finance interest paid]",
                                    "NameOfGroup": "Trade Finance",
                                    "EquationToParse": "[Asset Finance interest]-[Asset Finance interest paid]",
                                    "MostRecentExpectedUnitErrors": null,
                                    "Units": {
                                      "$id": "174",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"42"
                                  }
                                ]
                              },
                              "FlagApplied": null,
                              "ActualsFlag": null,
                              "Name": "Asset Finance balance",
                              "HasDefaultEquation": false,
                              "NonStandardBalanceFormula": false,
                              "EquationOBXInternal": "IF([Period number]=0,[Opening Asset Finance balance],BEG()+[Asset Finance drawdown]+[Asset Finance unpaid interest]-[Asset Finance principal repayment])",
                              "InitialOpeningVariable": null,
                              "Units": {
                                "$id": "175",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"Asset_Finance_balance.BEG",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"f787a272-3264-4c39-806c-9498e2e06962",
                              "Dimensions": {
                                "$type": "ModelMakerEngine.MMDimensions, ModelMakerEngine",
                                "$values": []
                              },
                              "NameOfGroup": "Trade Finance",
                              "EquationToParse": "IF([Period number]=0,[Opening Asset Finance balance],BEG()+[Asset Finance drawdown]+[Asset Finance unpaid interest]-[Asset Finance principal repayment])",
                              "MostRecentExpectedUnitErrors": null,
                              "ReportLines": {
                                "$type": "ModelMaker.UndoableCollection`1[[ModelMakerEngine.IReportLine, ModelMakerEngine]], ModelMaker.Undo",
                                "$values": [
                                  {
                                    "$ref": "171"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"176",
                            "$type": "ModelMaker.ReportLine, ModelMaker",
                            "AssociatedSchematicNode": {
                              "$id": "177",
                              "$type": "ModelMaker.StockNode, ModelMaker",
                              "OpeningOrActualsName": "",
                              "InFlows": {
                                "$type": "System.Collections.Generic.List`1[[ModelMakerEngine.IEquationNode, ModelMakerEngine]], mscorlib",
                                "$values": [
                                  {
                                    "$id": "178",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"7f266821-dea5-4254-885f-6f7741a24d5b",
                                    "Dimensions": {
                                      "$type": "ModelMakerEngine.MMDimensions, ModelMakerEngine",
                                      "$values": []
                                    },
                                    "EquationOBXInternal": "[Output VAT] - [Input VAT]",
                                    "NameOfGroup": "VAT",
                                    "EquationToParse": "[Output VAT] - [Input VAT]",
                                    "MostRecentExpectedUnitErrors": null,
                                    "Units": {
                                      "$id": "179",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due",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"14"
                                  }
                                ]
                              },
                              "FlagApplied": null,
                              "ActualsFlag": null,
                              "Name": "VAT balance",
                              "HasDefaultEquation": false,
                              "NonStandardBalanceFormula": false,
                              "EquationOBXInternal": "IF([Period number]=0,[Opening VAT balance],BEG()+[VAT due]-[VAT paid] )",
                              "InitialOpeningVariable": null,
                              "Units": {
                                "$id": "180",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"VAT_balance.BEG",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"28848446-976a-4c13-ae5a-2cce61c121e8",
                              "Dimensions": {
                                "$type": "ModelMakerEngine.MMDimensions, ModelMakerEngine",
                                "$values": []
                              },
                              "NameOfGroup": "VAT",
                              "EquationToParse": "IF([Period number]=0,[Opening VAT balance],BEG()+[VAT due]-[VAT paid] )",
                              "MostRecentExpectedUnitErrors": null,
                              "ReportLines": {
                                "$type": "ModelMaker.UndoableCollection`1[[ModelMakerEngine.IReportLine, ModelMakerEngine]], ModelMaker.Undo",
                                "$values": [
                                  {
                                    "$ref": "176"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"181",
                            "$type": "ModelMaker.ReportLine, ModelMaker",
                            "AssociatedSchematicNode": {
                              "$id": "182",
                              "$type": "ModelMaker.StockNode, ModelMaker",
                              "OpeningOrActualsName": "",
                              "InFlows": {
                                "$type": "System.Collections.Generic.List`1[[ModelMakerEngine.IEquationNode, ModelMakerEngine]], mscorlib",
                                "$values": [
                                  {
                                    "$ref": "88"
                                  }
                                ]
                              },
                              "OutFlows": {
                                "$type": "System.Collections.Generic.List`1[[ModelMakerEngine.IEquationNode, ModelMakerEngine]], mscorlib",
                                "$values": [
                                  {
                                    "$ref": "17"
                                  }
                                ]
                              },
                              "FlagApplied": null,
                              "ActualsFlag": null,
                              "Name": "Corporation tax creditor",
                              "HasDefaultEquation": false,
                              "NonStandardBalanceFormula": false,
                              "EquationOBXInternal": "IF([Period number]=0,[Opening Corporation tax creditor],BEG() + [Corporation tax] - [Corporation tax paid] )",
                              "InitialOpeningVariable": null,
                              "Units": {
                                "$id": "183",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"Corporation_tax_creditor.BEG",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"38b4597e-a3f4-44c0-bf6f-db20a86fcee5",
                              "Dimensions": {
                                "$type": "ModelMakerEngine.MMDimensions, ModelMakerEngine",
                                "$values": []
                              },
                              "NameOfGroup": "Corporation tax.Corporation tax creditor",
                              "EquationToParse": "IF([Period number]=0,[Opening Corporation tax creditor],BEG() + [Corporation tax] - [Corporation tax paid] )",
                              "MostRecentExpectedUnitErrors": null,
                              "ReportLines": {
                                "$type": "ModelMaker.UndoableCollection`1[[ModelMakerEngine.IReportLine, ModelMakerEngine]], ModelMaker.Undo",
                                "$values": [
                                  {
                                    "$ref": "181"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"184",
                            "$type": "ModelMaker.ReportLine, ModelMaker",
                            "AssociatedSchematicNode": {
                              "$id": "185",
                              "$type": "ModelMaker.VariableNode, ModelMaker",
                              "RowTotalDependent": null,
                              "PutCalculationOnReport": false,
                              "CalculateOnThisReport": null,
                              "PivotTableLink": null,
                              "ExcelNameName": "Liabilities",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false,
                              "IsConstant": false,
                              "UniqueID": "9dc3978f-a153-4dfb-bcca-903e1170b575",
                              "Dimensions": {
                                "$type": "ModelMakerEngine.MMDimensions, ModelMakerEngine",
                                "$values": []
                              },
                              "EquationOBXInternal": "",
                              "NameOfGroup": "Unallocated",
                              "EquationToParse": "",
                              "MostRecentExpectedUnitErrors": null,
                              "Units": {
                                "$ref": "2"
                              },
                              "Name": "Liabilities",
                              "ReportLines": {
                                "$type": "ModelMaker.UndoableCollection`1[[ModelMakerEngine.IReportLine, ModelMakerEngine]], ModelMaker.Undo",
                                "$values": [
                                  {
                                    "$ref": "184"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"92"
                            },
                            "HeadingLevel": 0,
                            "ReportFormatName": null,
                            "YPosition": -1,
                            "Visible": true,
                            "Font": null,
                            "AllowIncomingLinks": true,
                            "AllowOutgoingLinks": true,
                            "Deletable": true,
                            "Issues": null
                          },
                          {
                            "$id": "186",
                            "$type": "ModelMaker.ReportLine, ModelMaker",
                            "AssociatedSchematicNode": {
                              "$id": "187",
                              "$type": "ModelMaker.VariableNode, ModelMaker",
                              "RowTotalDependent": null,
                              "PutCalculationOnReport": false,
                              "CalculateOnThisReport": null,
                              "PivotTableLink": null,
                              "ExcelNameName": "Net_Assets",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"0db8ff02-848e-44ca-8871-79b4ae3a5372",
                              "Dimensions": {
                                "$type": "ModelMakerEngine.MMDimensions, ModelMakerEngine",
                                "$values": []
                              },
                              "EquationOBXInternal": "[Assets]-[Liabilities]",
                              "NameOfGroup": "Financials",
                              "EquationToParse": "[Assets]-[Liabilities]",
                              "MostRecentExpectedUnitErrors": null,
                              "Units": {
                                "$id": "188",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"Net Assets",
                              "ReportLines": {
                                "$type": "ModelMaker.UndoableCollection`1[[ModelMakerEngine.IReportLine, ModelMakerEngine]], ModelMaker.Undo",
                                "$values": [
                                  {
                                    "$ref": "186"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"YPosition": -1,
                            "Visible": true,
                            "Font": null,
                            "AllowIncomingLinks": true,
                            "AllowOutgoingLinks": true,
                            "Deletable": true,
                            "Issues": null
                          },
                          {
                            "$id": "189",
                            "$type": "ModelMaker.ReportLine, ModelMaker",
                            "AssociatedSchematicNode": {
                              "$id": "190",
                              "$type": "ModelMaker.StockNode, ModelMaker",
                              "OpeningOrActualsName": "",
                              "InFlows": {
                                "$type": "System.Collections.Generic.List`1[[ModelMakerEngine.IEquationNode, ModelMakerEngine]], mscorlib",
                                "$values": [
                                  {
                                    "$ref": "57"
                                  }
                                ]
                              },
                              "OutFlows": {
                                "$type": "System.Collections.Generic.List`1[[ModelMakerEngine.IEquationNode, ModelMakerEngine]], mscorlib",
                                "$values": []
                              },
                              "FlagApplied": null,
                              "ActualsFlag": null,
                              "Name": "Retained Earnings",
                              "HasDefaultEquation": false,
                              "NonStandardBalanceFormula": false,
                              "EquationOBXInternal": "IF([Period number]=0,[Opening Retained Earnings],BEG() + [Retained Earnings this period] ) ",
                              "InitialOpeningVariable": null,
                              "Units": {
                                "$ref": "2"
                              },
                              "Visible": true,
                              "RowTotalDependent": null,
                              "PutCalculationOnReport": false,
                              "CalculateOnThisReport": null,
                              "PivotTableLink": null,
                              "ExcelNameName": "Retained_Earnings.BEG",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"a16795b8-a9be-449a-bbde-ba98680b44fb",
                              "Dimensions": {
                                "$type": "ModelMakerEngine.MMDimensions, ModelMakerEngine",
                                "$values": []
                              },
                              "NameOfGroup": "Unallocated",
                              "EquationToParse": "IF([Period number]=0,[Opening Retained Earnings],BEG() + [Retained Earnings this period] ) ",
                              "MostRecentExpectedUnitErrors": null,
                              "ReportLines": {
                                "$type": "ModelMaker.UndoableCollection`1[[ModelMakerEngine.IReportLine, ModelMakerEngine]], ModelMaker.Undo",
                                "$values": [
                                  {
                                    "$ref": "189"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"191",
                            "$type": "ModelMaker.ReportLine, ModelMaker",
                            "AssociatedSchematicNode": {
                              "$id": "192",
                              "$type": "ModelMaker.StockNode, ModelMaker",
                              "OpeningOrActualsName": "",
                              "InFlows": {
                                "$type": "System.Collections.Generic.List`1[[ModelMakerEngine.IEquationNode, ModelMakerEngine]], mscorlib",
                                "$values": [
                                  {
                                    "$ref": "56"
                                  }
                                ]
                              },
                              "OutFlows": {
                                "$type": "System.Collections.Generic.List`1[[ModelMakerEngine.IEquationNode, ModelMakerEngine]], mscorlib",
                                "$values": []
                              },
                              "FlagApplied": null,
                              "ActualsFlag": null,
                              "Name": "Share Capital",
                              "HasDefaultEquation": false,
                              "NonStandardBalanceFormula": false,
                              "EquationOBXInternal": "IF([Period number]=0,[Opening Share Capital],BEG() +[New share capital issued] ) ",
                              "InitialOpeningVariable": null,
                              "Units": {
                                "$ref": "2"
                              },
                              "Visible": true,
                              "RowTotalDependent": null,
                              "PutCalculationOnReport": false,
                              "CalculateOnThisReport": null,
                              "PivotTableLink": null,
                              "ExcelNameName": "Share_Capital.BEG",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"48eea463-40ff-468d-809d-f47cfa86b7dc",
                              "Dimensions": {
                                "$type": "ModelMakerEngine.MMDimensions, ModelMakerEngine",
                                "$values": []
                              },
                              "NameOfGroup": "Equity",
                              "EquationToParse": "IF([Period number]=0,[Opening Share Capital],BEG() +[New share capital issued] ) ",
                              "MostRecentExpectedUnitErrors": null,
                              "ReportLines": {
                                "$type": "ModelMaker.UndoableCollection`1[[ModelMakerEngine.IReportLine, ModelMakerEngine]], ModelMaker.Undo",
                                "$values": [
                                  {
                                    "$ref": "191"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"YPosition": -1,
                            "Visible": true,
                            "Font": null,
                            "AllowIncomingLinks": true,
                            "AllowOutgoingLinks": true,
                            "Deletable": true,
                            "Issues": null
                          },
                          {
                            "$id": "193",
                            "$type": "ModelMaker.ReportLine, ModelMaker",
                            "AssociatedSchematicNode": {
                              "$id": "194",
                              "$type": "ModelMaker.VariableNode, ModelMaker",
                              "RowTotalDependent": null,
                              "PutCalculationOnReport": false,
                              "CalculateOnThisReport": null,
                              "PivotTableLink": null,
                              "ExcelNameName": "Shareholder_Equity",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"d6fe0444-9546-4210-a113-d845af600d16",
                              "Dimensions": {
                                "$type": "ModelMakerEngine.MMDimensions, ModelMakerEngine",
                                "$values": []
                              },
                              "EquationOBXInternal": "[Retained Earnings]+[Share Capital]",
                              "NameOfGroup": "Unallocated",
                              "EquationToParse": "[Retained Earnings]+[Share Capital]",
                              "MostRecentExpectedUnitErrors": null,
                              "Units": {
                                "$ref": "2"
                              },
                              "Name": "Shareholder Equity",
                              "ReportLines": {
                                "$type": "ModelMaker.UndoableCollection`1[[ModelMakerEngine.IReportLine, ModelMakerEngine]], ModelMaker.Undo",
                                "$values": [
                                  {
                                    "$ref": "193"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"YPosition": -1,
                            "Visible": true,
                            "Font": null,
                            "AllowIncomingLinks": true,
                            "AllowOutgoingLinks": true,
                            "Deletable": true,
                            "Issues": null
                          }
                        ]
                      },
                      "AllowIncomingLinks": false,
                      "AllowOutgoingLinks": false,
                      "YPosition": -1,
                      "Name": "Balance Sheet",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"185"
            },
            {
              "$ref": "74"
            }
          ]
        },
        "AllowAddChildren": true,
        "AllowRemoveChildren": true,
        "IsImported": false,
        "IsChecksGroup": false,
        "IsAlertsGroup": false,
        "IsChecksAndAlertsGroup": false,
        "IsUnallocatedGroup": true,
        "IsInputsGroup": false,
        "IsFlag": false,
        "IsTimeAndFlagsGroup": false,
        "DimensionsAcross": {
          "$type": "ModelMakerEngine.MMDimensions, ModelMakerEngine",
          "$values": []
        },
        "TimeAxis": 0,
        "IndexInParent": 0,
        "Name": "Unallocated",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"195",
        "$type": "ModelMaker.GroupNode, ModelMaker",
        "TabOrHeaderColour": "",
        "Comment": "",
        "NameOfGroup": null,
        "YPosition": 0,
        "Folded": false,
        "Font": null,
        "Children": {
          "$type": "ModelMaker.GroupNodeChildCollection, ModelMaker",
          "$values": [
            {
              "$id": "196",
              "$type": "ModelMaker.GroupNode, ModelMaker",
              "TabOrHeaderColour": "",
              "Comment": "",
              "NameOfGroup": "Inputs",
              "YPosition": 0,
              "Folded": true,
              "Font": null,
              "Children": {
                "$type": "ModelMaker.GroupNodeChildCollection, ModelMaker",
                "$values": [
                  {
                    "$id": "197",
                    "$type": "ModelMaker.VariableNode, ModelMaker",
                    "RowTotalDependent": null,
                    "PutCalculationOnReport": false,
                    "CalculateOnThisReport": null,
                    "PivotTableLink": null,
                    "ExcelNameName": "Months_in_year",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true,
                    "UniqueID": "bc75a3c1-ec6a-47cc-8365-3d4b26e27cba",
                    "Dimensions": {
                      "$type": "ModelMakerEngine.MMDimensions, ModelMakerEngine",
                      "$values": []
                    },
                    "EquationOBXInternal": "12",
                    "NameOfGroup": "Inputs.Model Constants",
                    "EquationToParse": "12",
                    "MostRecentExpectedUnitErrors": null,
                    "Units": {
                      "$id": "198",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"Months in year",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"199",
                    "$type": "ModelMaker.VariableNode, ModelMaker",
                    "RowTotalDependent": null,
                    "PutCalculationOnReport": false,
                    "CalculateOnThisReport": null,
                    "PivotTableLink": null,
                    "ExcelNameName": "Months_per_period",
                    "ExcelNameNames": {
                      "$type": "ModelMakerEngine.ExcelNameDictionary, ModelMakerEngine",
                      "$values": []
                    },
                    "NumberFormatOverride": null,
                    "HasOpeningBalanceFlag": false,
                    "OpeningBalanceFlagAppliedName": "",
                    "Deletable": false,
                    "Comment": "",
                    "HasSwitchSignLine": false,
                    "SwitchSignForReport": false,
                    "MultipleInputValues": null,
                    "NonPrimaryInput": false,
                    "Max": "NaN",
                    "Min": "NaN",
                    "IsBalanceButNotCorkscrew": false,
                    "IsEditable": true,
                    "IsConstant": true,
                    "UniqueID": "e173d05e-3ee1-44b1-9cc8-ac62173590a6",
                    "Dimensions": {
                      "$type": "ModelMakerEngine.MMDimensions, ModelMakerEngine",
                      "$values": []
                    },
                    "EquationOBXInternal": "1",
                    "NameOfGroup": "Inputs.Model Constants",
                    "EquationToParse": "1",
                    "MostRecentExpectedUnitErrors": null,
                    "Units": {
                      "$id": "200",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"Months per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11,
                    "IsStandardNode": true,
                    "WarnMessage": null,
                    "HasStandardDescription": false,
                    "HasStandardName": true,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"201",
                    "$type": "ModelMaker.VariableNode, ModelMaker",
                    "RowTotalDependent": null,
                    "PutCalculationOnReport": false,
                    "CalculateOnThisReport": null,
                    "PivotTableLink": null,
                    "ExcelNameName": "Financial_year_end_month",
                    "ExcelNameNames": {
                      "$type": "ModelMakerEngine.ExcelNameDictionary, ModelMakerEngine",
                      "$values": []
                    },
                    "NumberFormatOverride": null,
                    "HasOpeningBalanceFlag": false,
                    "OpeningBalanceFlagAppliedName": "",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"5a3d6ac2-c678-47af-b671-9db400b32b3f",
                    "Dimensions": {
                      "$type": "ModelMakerEngine.MMDimensions, ModelMakerEngine",
                      "$values": []
                    },
                    "EquationOBXInternal": "4",
                    "NameOfGroup": "Inputs.Model Constants",
                    "EquationToParse": "4",
                    "MostRecentExpectedUnitErrors": null,
                    "Units": {
                      "$id": "202",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"Financial year end month",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6,
                    "IsStandardNode": true,
                    "WarnMessage": null,
                    "HasStandardDescription": false,
                    "HasStandardName": true,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"203",
                    "$type": "ModelMaker.VariableNode, ModelMaker",
                    "RowTotalDependent": null,
                    "PutCalculationOnReport": false,
                    "CalculateOnThisReport": null,
                    "PivotTableLink": null,
                    "ExcelNameName": "Start_date",
                    "ExcelNameNames": {
                      "$type": "ModelMakerEngine.ExcelNameDictionary, ModelMakerEngine",
                      "$values": []
                    },
                    "NumberFormatOverride": null,
                    "HasOpeningBalanceFlag": false,
                    "OpeningBalanceFlagAppliedName": "",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"ea207916-03f2-4fbb-93c4-554276feb7f7",
                    "Dimensions": {
                      "$type": "ModelMakerEngine.MMDimensions, ModelMakerEngine",
                      "$values": []
                    },
                    "EquationOBXInternal": "45047",
                    "NameOfGroup": "Inputs.Model Constants",
                    "EquationToParse": "45047",
                    "MostRecentExpectedUnitErrors": null,
                    "Units": {
                      "$id": "204",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"Start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7,
                    "IsStandardNode": true,
                    "WarnMessage":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"Model Constants",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"205",
              "$type": "ModelMaker.GroupNode, ModelMaker",
              "TabOrHeaderColour": "",
              "Comment": "",
              "NameOfGroup": "Inputs",
              "YPosition": 1,
              "Folded": false,
              "Font": null,
              "Children": {
                "$type": "ModelMaker.GroupNodeChildCollection, ModelMaker",
                "$values": [
                  {
                    "$id": "206",
                    "$type": "ModelMaker.VariableNode, ModelMaker",
                    "RowTotalDependent": null,
                    "PutCalculationOnReport": false,
                    "CalculateOnThisReport": null,
                    "PivotTableLink": null,
                    "ExcelNameName": "Customer_Retention",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"207",
                          "$type": "ModelMaker.DimensionedArrayValues, ModelMaker",
                          "Elements": {
                            "$type": "ModelMakerEngine.MMElements, ModelMakerEngine",
                            "$values": []
                          },
                          "Values": {
                            "$type": "System.Collections.Generic.List`1[[System.Object, mscorlib]], mscorlib",
                            "$values": [
                              0.9,
                              0.9,
                              0.9,
                              0.9,
                              0.9,
                              0.9,
                              0.9,
                              null
                            ]
                          }
                        }
                      ]
                    },
                    "NonPrimaryInput": false,
                    "Max": "NaN",
                    "Min": "NaN",
                    "IsBalanceButNotCorkscrew": false,
                    "IsEditable": true,
                    "IsConstant": true,
                    "UniqueID": "b9c8781c-1ae0-4b45-bd73-dda8ffdbe13d",
                    "Dimensions": {
                      "$type": "ModelMakerEngine.MMDimensions, ModelMakerEngine",
                      "$values": []
                    },
                    "EquationOBXInternal": "{0.9,0.9,0.9,0.9,0.9,0.9,0.9,}",
                    "NameOfGroup": "Inputs.Customer Orders",
                    "EquationToParse": "{0.9,0.9,0.9,0.9,0.9,0.9,0.9,}",
                    "MostRecentExpectedUnitErrors": null,
                    "Units": {
                      "$id": "208",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Retention",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"209",
                    "$type": "ModelMaker.VariableNode, ModelMaker",
                    "RowTotalDependent": null,
                    "PutCalculationOnReport": false,
                    "CalculateOnThisReport": null,
                    "PivotTableLink": null,
                    "ExcelNameName": "Customer_base_order_number",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"210",
                          "$type": "ModelMaker.DimensionedArrayValues, ModelMaker",
                          "Elements": {
                            "$type": "ModelMakerEngine.MMElements, ModelMakerEngine",
                            "$values": []
                          },
                          "Values": {
                            "$type": "System.Collections.Generic.List`1[[System.Object, mscorlib]], mscorlib",
                            "$values": [
                              500.0,
                              500.0,
                              null,
                              null,
                              null,
                              null,
                              null,
                              null
                            ]
                          }
                        }
                      ]
                    },
                    "NonPrimaryInput": false,
                    "Max": "NaN",
                    "Min": "NaN",
                    "IsBalanceButNotCorkscrew": false,
                    "IsEditable": true,
                    "IsConstant": true,
                    "UniqueID": "c8f266d0-0fb7-479c-b629-17727ab178aa",
                    "Dimensions": {
                      "$type": "ModelMakerEngine.MMDimensions, ModelMakerEngine",
                      "$values": []
                    },
                    "EquationOBXInternal": "{500,500,,,,,,}",
                    "NameOfGroup": "Inputs.Customer Orders",
                    "EquationToParse": "{500,500,,,,,,}",
                    "MostRecentExpectedUnitErrors": null,
                    "Units": {
                      "$id": "211",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base order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"212",
                    "$type": "ModelMaker.VariableNode, ModelMaker",
                    "RowTotalDependent": null,
                    "PutCalculationOnReport": false,
                    "CalculateOnThisReport": null,
                    "PivotTableLink": null,
                    "ExcelNameName": "Customer_Order_Growth_annual_start_escalation_rate",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"213",
                          "$type": "ModelMaker.DimensionedArrayValues, ModelMaker",
                          "Elements": {
                            "$type": "ModelMakerEngine.MMElements, ModelMakerEngine",
                            "$values": []
                          },
                          "Values": {
                            "$type": "System.Collections.Generic.List`1[[System.Object, mscorlib]], mscorlib",
                            "$values": [
                              1.0,
                              1.0,
                              1.0,
                              1.0,
                              1.0,
                              1.0,
                              1.0,
                              null
                            ]
                          }
                        }
                      ]
                    },
                    "NonPrimaryInput": false,
                    "Max": "NaN",
                    "Min": "NaN",
                    "IsBalanceButNotCorkscrew": false,
                    "IsEditable": true,
                    "IsConstant": true,
                    "UniqueID": "3353c2b3-cc67-4c1c-aad8-67af0b79ac66",
                    "Dimensions": {
                      "$type": "ModelMakerEngine.MMDimensions, ModelMakerEngine",
                      "$values": []
                    },
                    "EquationOBXInternal": "{1,1,1,1,1,1,1,}",
                    "NameOfGroup": "Time.Customer Order Growth index",
                    "EquationToParse": "{1,1,1,1,1,1,1,}",
                    "MostRecentExpectedUnitErrors": null,
                    "Units": {
                      "$id": "214",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Order Growth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"215",
                    "$type": "ModelMaker.VariableNode, ModelMaker",
                    "RowTotalDependent": null,
                    "PutCalculationOnReport": false,
                    "CalculateOnThisReport": null,
                    "PivotTableLink": null,
                    "ExcelNameName": "Customer_Order_Growth_escalation_frequency",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"216",
                          "$type": "ModelMaker.DimensionedArrayValues, ModelMaker",
                          "Elements": {
                            "$type": "ModelMakerEngine.MMElements, ModelMakerEngine",
                            "$values": []
                          },
                          "Values": {
                            "$type": "System.Collections.Generic.List`1[[System.Object, mscorlib]], mscorlib",
                            "$values": [
                              1.0,
                              1.0,
                              1.0,
                              1.0,
                              1.0,
                              1.0,
                              1.0,
                              null
                            ]
                          }
                        }
                      ]
                    },
                    "NonPrimaryInput": false,
                    "Max": "NaN",
                    "Min": "NaN",
                    "IsBalanceButNotCorkscrew": false,
                    "IsEditable": true,
                    "IsConstant": true,
                    "UniqueID": "0654b81b-5129-48f8-979e-b15e46fee751",
                    "Dimensions": {
                      "$type": "ModelMakerEngine.MMDimensions, ModelMakerEngine",
                      "$values": []
                    },
                    "EquationOBXInternal": "{1,1,1,1,1,1,1,}",
                    "NameOfGroup": "Time.Customer Order Growth index",
                    "EquationToParse": "{1,1,1,1,1,1,1,}",
                    "MostRecentExpectedUnitErrors": null,
                    "Units": {
                      "$id": "217",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"218",
                    "$type": "ModelMaker.VariableNode, ModelMaker",
                    "RowTotalDependent": null,
                    "PutCalculationOnReport": false,
                    "CalculateOnThisReport": null,
                    "PivotTableLink": null,
                    "ExcelNameName": "Opening_Customer_Orders_Awaiting_Fullfilment",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"219",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"8d067485-6abf-4cfc-b059-1192a1918d45",
                    "Dimensions": {
                      "$type": "ModelMakerEngine.MMDimensions, ModelMakerEngine",
                      "$values": []
                    },
                    "EquationOBXInternal": "{0,0,0,0,0,0,0,}",
                    "NameOfGroup": "Inputs.Customer Orders",
                    "EquationToParse": "{0,0,0,0,0,0,0,}",
                    "MostRecentExpectedUnitErrors": null,
                    "Units": {
                      "$ref": "111"
                    },
                    "Name": "Opening Customer Orders Awaiting Fullfilment",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"220",
                    "$type": "ModelMaker.VariableNode, ModelMaker",
                    "RowTotalDependent": null,
                    "PutCalculationOnReport": false,
                    "CalculateOnThisReport": null,
                    "PivotTableLink": null,
                    "ExcelNameName": "Customer_payment_terms__months_",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"221",
                          "$type": "ModelMaker.DimensionedArrayValues, ModelMaker",
                          "Elements": {
                            "$type": "ModelMakerEngine.MMElements, ModelMakerEngine",
                            "$values": []
                          },
                          "Values": {
                            "$type": "System.Collections.Generic.List`1[[System.Object, mscorlib]], mscorlib",
                            "$values": [
                              2.0,
                              null,
                              null,
                              null,
                              null,
                              null,
                              null,
                              null
                            ]
                          }
                        }
                      ]
                    },
                    "NonPrimaryInput": false,
                    "Max": "NaN",
                    "Min": "NaN",
                    "IsBalanceButNotCorkscrew": false,
                    "IsEditable": true,
                    "IsConstant": true,
                    "UniqueID": "1ad01283-9dcf-450c-b876-6df5d0b3d007",
                    "Dimensions": {
                      "$type": "ModelMakerEngine.MMDimensions, ModelMakerEngine",
                      "$values": []
                    },
                    "EquationOBXInternal": "{2,,,,,,,}",
                    "NameOfGroup": "Inputs.Inventory",
                    "EquationToParse": "{2,,,,,,,}",
                    "MostRecentExpectedUnitErrors": null,
                    "Units": {
                      "$id": "222",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"Customer payment terms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"223",
                    "$type": "ModelMaker.VariableNode, ModelMaker",
                    "RowTotalDependent": null,
                    "PutCalculationOnReport": false,
                    "CalculateOnThisReport": null,
                    "PivotTableLink": null,
                    "ExcelNameName": "Sales_Price_Unit",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"224",
                          "$type": "ModelMaker.DimensionedArrayValues, ModelMaker",
                          "Elements": {
                            "$type": "ModelMakerEngine.MMElements, ModelMakerEngine",
                            "$values": []
                          },
                          "Values": {
                            "$type": "System.Collections.Generic.List`1[[System.Object, mscorlib]], mscorlib",
                            "$values": [
                              35.0,
                              null,
                              null,
                              null,
                              null,
                              null,
                              null,
                              null
                            ]
                          }
                        }
                      ]
                    },
                    "NonPrimaryInput": false,
                    "Max": "NaN",
                    "Min": "NaN",
                    "IsBalanceButNotCorkscrew": false,
                    "IsEditable": true,
                    "IsConstant": true,
                    "UniqueID": "e9ffd288-3f84-4100-ab93-aeb9e1ac5259",
                    "Dimensions": {
                      "$type": "ModelMakerEngine.MMDimensions, ModelMakerEngine",
                      "$values": []
                    },
                    "EquationOBXInternal": "{35,,,,,,,}",
                    "NameOfGroup": "Inputs.Customer Orders",
                    "EquationToParse": "{35,,,,,,,}",
                    "MostRecentExpectedUnitErrors": null,
                    "Units": {
                      "$ref": "2"
                    },
                    "Name": "Sales Price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"225",
                    "$type": "ModelMaker.VariableNode, ModelMaker",
                    "RowTotalDependent": null,
                    "PutCalculationOnReport": false,
                    "CalculateOnThisReport": null,
                    "PivotTableLink": null,
                    "ExcelNameName": "Contract_Length",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"226",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"b8f55979-1a53-4c2e-8568-c7777658deaf",
                    "Dimensions": {
                      "$type": "ModelMakerEngine.MMDimensions, ModelMakerEngine",
                      "$values": []
                    },
                    "EquationOBXInternal": "{24,,,,,,,}",
                    "NameOfGroup": "Inputs.Customer Orders",
                    "EquationToParse": "{24,,,,,,,}",
                    "MostRecentExpectedUnitErrors": null,
                    "Units": {
                      "$id": "227",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"Contract Length",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"228",
                    "$type": "ModelMaker.VariableNode, ModelMaker",
                    "RowTotalDependent": null,
                    "PutCalculationOnReport": false,
                    "CalculateOnThisReport": null,
                    "PivotTableLink": null,
                    "ExcelNameName": "Invoice_Term",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"229",
                          "$type": "ModelMaker.DimensionedArrayValues, ModelMaker",
                          "Elements": {
                            "$type": "ModelMakerEngine.MMElements, ModelMakerEngine",
                            "$values": []
                          },
                          "Values": {
                            "$type": "System.Collections.Generic.List`1[[System.Object, mscorlib]], mscorlib",
                            "$values": [
                              12.0,
                              12.0,
                              12.0,
                              12.0,
                              12.0,
                              12.0,
                              12.0,
                              null
                            ]
                          }
                        }
                      ]
                    },
                    "NonPrimaryInput": false,
                    "Max": "NaN",
                    "Min": "NaN",
                    "IsBalanceButNotCorkscrew": false,
                    "IsEditable": true,
                    "IsConstant": true,
                    "UniqueID": "bc802656-c7a6-4e25-95db-77381af1fc66",
                    "Dimensions": {
                      "$type": "ModelMakerEngine.MMDimensions, ModelMakerEngine",
                      "$values": []
                    },
                    "EquationOBXInternal": "{12,12,12,12,12,12,12,}",
                    "NameOfGroup": "Inputs.Customer Orders",
                    "EquationToParse": "{12,12,12,12,12,12,12,}",
                    "MostRecentExpectedUnitErrors": null,
                    "Units": {
                      "$id": "230",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"Invoice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"Customer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"231",
              "$type": "ModelMaker.GroupNode, ModelMaker",
              "TabOrHeaderColour": "",
              "Comment": "",
              "NameOfGroup": "Inputs",
              "YPosition": 2,
              "Folded": true,
              "Font": null,
              "Children": {
                "$type": "ModelMaker.GroupNodeChildCollection, ModelMaker",
                "$values": [
                  {
                    "$id": "232",
                    "$type": "ModelMaker.VariableNode, ModelMaker",
                    "RowTotalDependent": null,
                    "PutCalculationOnReport": false,
                    "CalculateOnThisReport": null,
                    "PivotTableLink": null,
                    "ExcelNameName": "Fixed_operating_cost_base",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"233",
                          "$type": "ModelMaker.DimensionedArrayValues, ModelMaker",
                          "Elements": {
                            "$type": "ModelMakerEngine.MMElements, ModelMakerEngine",
                            "$values": []
                          },
                          "Values": {
                            "$type": "System.Collections.Generic.List`1[[System.Object, mscorlib]], mscorlib",
                            "$values": [
                              25000.0,
                              25000.0,
                              25000.0,
                              25000.0,
                              25000.0,
                              25000.0,
                              25000.0,
                              null
                            ]
                          }
                        }
                      ]
                    },
                    "NonPrimaryInput": false,
                    "Max": "NaN",
                    "Min": "NaN",
                    "IsBalanceButNotCorkscrew": false,
                    "IsEditable": true,
                    "IsConstant": true,
                    "UniqueID": "a7e20227-4ff4-40af-a7b2-271376d249a1",
                    "Dimensions": {
                      "$type": "ModelMakerEngine.MMDimensions, ModelMakerEngine",
                      "$values": []
                    },
                    "EquationOBXInternal": "{25000,25000,25000,25000,25000,25000,25000,}",
                    "NameOfGroup": "Inputs.Expense",
                    "EquationToParse": "{25000,25000,25000,25000,25000,25000,25000,}",
                    "MostRecentExpectedUnitErrors": null,
                    "Units": {
                      "$ref": "2"
                    },
                    "Name": "Fixed operating cost base",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"234",
                    "$type": "ModelMaker.VariableNode, ModelMaker",
                    "RowTotalDependent": null,
                    "PutCalculationOnReport": false,
                    "CalculateOnThisReport": null,
                    "PivotTableLink": null,
                    "ExcelNameName": "Fixed_Operating_Cost_Growth_Rate_annual_start_escalation_rate",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"235",
                          "$type": "ModelMaker.DimensionedArrayValues, ModelMaker",
                          "Elements": {
                            "$type": "ModelMakerEngine.MMElements, ModelMakerEngine",
                            "$values": []
                          },
                          "Values": {
                            "$type": "System.Collections.Generic.List`1[[System.Object, mscorlib]], mscorlib",
                            "$values": [
                              0.1,
                              0.1,
                              0.1,
                              0.1,
                              0.1,
                              0.1,
                              0.1,
                              null
                            ]
                          }
                        }
                      ]
                    },
                    "NonPrimaryInput": false,
                    "Max": "NaN",
                    "Min": "NaN",
                    "IsBalanceButNotCorkscrew": false,
                    "IsEditable": true,
                    "IsConstant": true,
                    "UniqueID": "de9baafe-7635-4391-8045-5223770b501f",
                    "Dimensions": {
                      "$type": "ModelMakerEngine.MMDimensions, ModelMakerEngine",
                      "$values": []
                    },
                    "EquationOBXInternal": "{0.1,0.1,0.1,0.1,0.1,0.1,0.1,}",
                    "NameOfGroup": "Inputs.Expense",
                    "EquationToParse": "{0.1,0.1,0.1,0.1,0.1,0.1,0.1,}",
                    "MostRecentExpectedUnitErrors": null,
                    "Units": {
                      "$id": "236",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"Fixed Operating Cost Growth Rate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"237",
                    "$type": "ModelMaker.VariableNode, ModelMaker",
                    "RowTotalDependent": null,
                    "PutCalculationOnReport": false,
                    "CalculateOnThisReport": null,
                    "PivotTableLink": null,
                    "ExcelNameName": "Fixed_Operating_Cost_Growth_Rate_escalation_frequency",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"238",
                          "$type": "ModelMaker.DimensionedArrayValues, ModelMaker",
                          "Elements": {
                            "$type": "ModelMakerEngine.MMElements, ModelMakerEngine",
                            "$values": []
                          },
                          "Values": {
                            "$type": "System.Collections.Generic.List`1[[System.Object, mscorlib]], mscorlib",
                            "$values": [
                              3.0,
                              3.0,
                              3.0,
                              3.0,
                              3.0,
                              3.0,
                              3.0,
                              null
                            ]
                          }
                        }
                      ]
                    },
                    "NonPrimaryInput": false,
                    "Max": "NaN",
                    "Min": "NaN",
                    "IsBalanceButNotCorkscrew": false,
                    "IsEditable": true,
                    "IsConstant": true,
                    "UniqueID": "837bf3c2-0037-4e9e-b181-842a7735e41a",
                    "Dimensions": {
                      "$type": "ModelMakerEngine.MMDimensions, ModelMakerEngine",
                      "$values": []
                    },
                    "EquationOBXInternal": "{3,3,3,3,3,3,3,}",
                    "NameOfGroup": "Inputs.Expense",
                    "EquationToParse": "{3,3,3,3,3,3,3,}",
                    "MostRecentExpectedUnitErrors": null,
                    "Units": {
                      "$id": "239",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"Fixed Operating Cost Growth Rate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"240",
                    "$type": "ModelMaker.VariableNode, ModelMaker",
                    "RowTotalDependent": null,
                    "PutCalculationOnReport": false,
                    "CalculateOnThisReport": null,
                    "PivotTableLink": null,
                    "ExcelNameName": "Variable_Operating_Costs_as_a___of_sales",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"241",
                          "$type": "ModelMaker.DimensionedArrayValues, ModelMaker",
                          "Elements": {
                            "$type": "ModelMakerEngine.MMElements, ModelMakerEngine",
                            "$values": []
                          },
                          "Values": {
                            "$type": "System.Collections.Generic.List`1[[System.Object, mscorlib]], mscorlib",
                            "$values": [
                              0.05,
                              0.05,
                              0.05,
                              0.05,
                              0.05,
                              0.05,
                              0.05,
                              null
                            ]
                          }
                        }
                      ]
                    },
                    "NonPrimaryInput": false,
                    "Max": "NaN",
                    "Min": "NaN",
                    "IsBalanceButNotCorkscrew": false,
                    "IsEditable": true,
                    "IsConstant": true,
                    "UniqueID": "3ac0d2df-8c65-4af1-b2ff-5a98b61e05e0",
                    "Dimensions": {
                      "$type": "ModelMakerEngine.MMDimensions, ModelMakerEngine",
                      "$values": []
                    },
                    "EquationOBXInternal": "{0.05,0.05,0.05,0.05,0.05,0.05,0.05,}",
                    "NameOfGroup": "Inputs.Expense",
                    "EquationToParse": "{0.05,0.05,0.05,0.05,0.05,0.05,0.05,}",
                    "MostRecentExpectedUnitErrors": null,
                    "Units": {
                      "$id": "242",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"Variable Operating Costs as a % of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"243",
              "$type": "ModelMaker.GroupNode, ModelMaker",
              "TabOrHeaderColour": "",
              "Comment": "",
              "NameOfGroup": "Inputs",
              "YPosition": 3,
              "Folded": true,
              "Font": null,
              "Children": {
                "$type": "ModelMaker.GroupNodeChildCollection, ModelMaker",
                "$values": [
                  {
                    "$id": "244",
                    "$type": "ModelMaker.VariableNode, ModelMaker",
                    "RowTotalDependent": null,
                    "PutCalculationOnReport": false,
                    "CalculateOnThisReport": null,
                    "PivotTableLink": null,
                    "ExcelNameName": "Minimum_quantity_before_reorder",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"245",
                          "$type": "ModelMaker.DimensionedArrayValues, ModelMaker",
                          "Elements": {
                            "$type": "ModelMakerEngine.MMElements, ModelMakerEngine",
                            "$values": []
                          },
                          "Values": {
                            "$type": "System.Collections.Generic.List`1[[System.Object, mscorlib]], mscorlib",
                            "$values": [
                              1000.0,
                              500.0,
                              1000.0,
                              1000.0,
                              1000.0,
                              1000.0,
                              1000.0,
                              null
                            ]
                          }
                        }
                      ]
                    },
                    "NonPrimaryInput": false,
                    "Max": "NaN",
                    "Min": "NaN",
                    "IsBalanceButNotCorkscrew": false,
                    "IsEditable": true,
                    "IsConstant": true,
                    "UniqueID": "975de26d-e76f-4efa-8aec-3ec8c01ab8d5",
                    "Dimensions": {
                      "$type": "ModelMakerEngine.MMDimensions, ModelMakerEngine",
                      "$values": []
                    },
                    "EquationOBXInternal": "{1000,500,1000,1000,1000,1000,1000,}",
                    "NameOfGroup": "Inputs.Supplier orders",
                    "EquationToParse": "{1000,500,1000,1000,1000,1000,1000,}",
                    "MostRecentExpectedUnitErrors": null,
                    "Units": {
                      "$id": "246",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quantity before reorder",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"247",
                    "$type": "ModelMaker.VariableNode, ModelMaker",
                    "RowTotalDependent": null,
                    "PutCalculationOnReport": false,
                    "CalculateOnThisReport": null,
                    "PivotTableLink": null,
                    "ExcelNameName": "Supplier_order_deposit",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"248",
                          "$type": "ModelMaker.DimensionedArrayValues, ModelMaker",
                          "Elements": {
                            "$type": "ModelMakerEngine.MMElements, ModelMakerEngine",
                            "$values": []
                          },
                          "Values": {
                            "$type": "System.Collections.Generic.List`1[[System.Object, mscorlib]], mscorlib",
                            "$values": [
                              0.3,
                              1.0,
                              null,
                              null,
                              null,
                              null,
                              null,
                              null
                            ]
                          }
                        }
                      ]
                    },
                    "NonPrimaryInput": false,
                    "Max": "NaN",
                    "Min": "NaN",
                    "IsBalanceButNotCorkscrew": false,
                    "IsEditable": true,
                    "IsConstant": true,
                    "UniqueID": "13c929e1-9247-4e0a-bfdb-12ab3221303a",
                    "Dimensions": {
                      "$type": "ModelMakerEngine.MMDimensions, ModelMakerEngine",
                      "$values": []
                    },
                    "EquationOBXInternal": "{0.3,1,,,,,,}",
                    "NameOfGroup": "Inputs",
                    "EquationToParse": "{0.3,1,,,,,,}",
                    "MostRecentExpectedUnitErrors": null,
                    "Units": {
                      "$id": "249",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"Supplier order deposit",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"250",
                    "$type": "ModelMaker.VariableNode, ModelMaker",
                    "RowTotalDependent": null,
                    "PutCalculationOnReport": false,
                    "CalculateOnThisReport": null,
                    "PivotTableLink": null,
                    "ExcelNameName": "Order_lead_time__months_",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"251",
                          "$type": "ModelMaker.DimensionedArrayValues, ModelMaker",
                          "Elements": {
                            "$type": "ModelMakerEngine.MMElements, ModelMakerEngine",
                            "$values": []
                          },
                          "Values": {
                            "$type": "System.Collections.Generic.List`1[[System.Object, mscorlib]], mscorlib",
                            "$values": [
                              6.0,
                              1.0,
                              null,
                              null,
                              null,
                              null,
                              null,
                              null
                            ]
                          }
                        }
                      ]
                    },
                    "NonPrimaryInput": false,
                    "Max": "NaN",
                    "Min": "NaN",
                    "IsBalanceButNotCorkscrew": false,
                    "IsEditable": true,
                    "IsConstant": true,
                    "UniqueID": "68b98021-ee14-45a3-b4df-a02f344983e5",
                    "Dimensions": {
                      "$type": "ModelMakerEngine.MMDimensions, ModelMakerEngine",
                      "$values": []
                    },
                    "EquationOBXInternal": "{6,1,,,,,,}",
                    "NameOfGroup": "Inputs.Inventory",
                    "EquationToParse": "{6,1,,,,,,}",
                    "MostRecentExpectedUnitErrors": null,
                    "Units": {
                      "$id": "252",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"Order lead time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"136"
                  },
                  {
                    "$id": "253",
                    "$type": "ModelMaker.VariableNode, ModelMaker",
                    "RowTotalDependent": null,
                    "PutCalculationOnReport": false,
                    "CalculateOnThisReport": null,
                    "PivotTableLink": null,
                    "ExcelNameName": "Minimum_supplier_order_quantity",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"254",
                          "$type": "ModelMaker.DimensionedArrayValues, ModelMaker",
                          "Elements": {
                            "$type": "ModelMakerEngine.MMElements, ModelMakerEngine",
                            "$values": []
                          },
                          "Values": {
                            "$type": "System.Collections.Generic.List`1[[System.Object, mscorlib]], mscorlib",
                            "$values": [
                              5000.0,
                              2.0,
                              null,
                              null,
                              null,
                              null,
                              null,
                              null
                            ]
                          }
                        }
                      ]
                    },
                    "NonPrimaryInput": false,
                    "Max": "NaN",
                    "Min": "NaN",
                    "IsBalanceButNotCorkscrew": false,
                    "IsEditable": true,
                    "IsConstant": true,
                    "UniqueID": "5eae7e99-3267-4c70-8b08-dedbd5d974d4",
                    "Dimensions": {
                      "$type": "ModelMakerEngine.MMDimensions, ModelMakerEngine",
                      "$values": []
                    },
                    "EquationOBXInternal": "{5000,2,,,,,,}",
                    "NameOfGroup": "Inputs.Inventory",
                    "EquationToParse": "{5000,2,,,,,,}",
                    "MostRecentExpectedUnitErrors": null,
                    "Units": {
                      "$id": "255",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supplier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"Supplier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"256",
              "$type": "ModelMaker.GroupNode, ModelMaker",
              "TabOrHeaderColour": "",
              "Comment": "",
              "NameOfGroup": "Inputs",
              "YPosition": 4,
              "Folded": true,
              "Font": null,
              "Children": {
                "$type": "ModelMaker.GroupNodeChildCollection, ModelMaker",
                "$values": [
                  {
                    "$id": "257",
                    "$type": "ModelMaker.VariableNode, ModelMaker",
                    "RowTotalDependent": null,
                    "PutCalculationOnReport": false,
                    "CalculateOnThisReport": null,
                    "PivotTableLink": null,
                    "ExcelNameName": "Opening_Total_Units_retired",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"258",
                          "$type": "ModelMaker.DimensionedArrayValues, ModelMaker",
                          "Elements": {
                            "$type": "ModelMakerEngine.MMElements, ModelMakerEngine",
                            "$values": []
                          },
                          "Values": {
                            "$type": "System.Collections.Generic.List`1[[System.Object, mscorlib]], mscorlib",
                            "$values": [
                              0.0,
                              12.0,
                              0.0,
                              0.0,
                              0.0,
                              0.0,
                              0.0,
                              null
                            ]
                          }
                        }
                      ]
                    },
                    "NonPrimaryInput": false,
                    "Max": "NaN",
                    "Min": "NaN",
                    "IsBalanceButNotCorkscrew": false,
                    "IsEditable": true,
                    "IsConstant": true,
                    "UniqueID": "069bd23d-6de6-438e-9889-27644dc53a53",
                    "Dimensions": {
                      "$type": "ModelMakerEngine.MMDimensions, ModelMakerEngine",
                      "$values": []
                    },
                    "EquationOBXInternal": "{0,12,0,0,0,0,0,}",
                    "NameOfGroup": "Inventory",
                    "EquationToParse": "{0,12,0,0,0,0,0,}",
                    "MostRecentExpectedUnitErrors": null,
                    "Units": {
                      "$id": "259",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"Opening Total Units retired",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"260",
                    "$type": "ModelMaker.VariableNode, ModelMaker",
                    "RowTotalDependent": null,
                    "PutCalculationOnReport": false,
                    "CalculateOnThisReport": null,
                    "PivotTableLink": null,
                    "ExcelNameName": "Depreciation_Term",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"261",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"acad3d1b-c3ff-4684-a742-c9e8e3462bf1",
                    "Dimensions": {
                      "$type": "ModelMakerEngine.MMDimensions, ModelMakerEngine",
                      "$values": []
                    },
                    "EquationOBXInternal": "{24,,,,,,,}",
                    "NameOfGroup": "Inputs.Inventory",
                    "EquationToParse": "{24,,,,,,,}",
                    "MostRecentExpectedUnitErrors": null,
                    "Units": {
                      "$id": "262",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"Depreciation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"263",
                    "$type": "ModelMaker.VariableNode, ModelMaker",
                    "RowTotalDependent": null,
                    "PutCalculationOnReport": false,
                    "CalculateOnThisReport": null,
                    "PivotTableLink": null,
                    "ExcelNameName": "Opening_Units_on_order",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"264",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"b2cfd2f9-3ec8-4cea-aa22-0c92614c96c0",
                    "Dimensions": {
                      "$type": "ModelMakerEngine.MMDimensions, ModelMakerEngine",
                      "$values": []
                    },
                    "EquationOBXInternal": "{0,,,,,,,}",
                    "NameOfGroup": "Inventory",
                    "EquationToParse": "{0,,,,,,,}",
                    "MostRecentExpectedUnitErrors": null,
                    "Units": {
                      "$ref": "117"
                    },
                    "Name": "Opening Units on 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"265",
                    "$type": "ModelMaker.VariableNode, ModelMaker",
                    "RowTotalDependent": null,
                    "PutCalculationOnReport": false,
                    "CalculateOnThisReport": null,
                    "PivotTableLink": null,
                    "ExcelNameName": "Opening_Units_in_stock",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"266",
                          "$type": "ModelMaker.DimensionedArrayValues, ModelMaker",
                          "Elements": {
                            "$type": "ModelMakerEngine.MMElements, ModelMakerEngine",
                            "$values": []
                          },
                          "Values": {
                            "$type": "System.Collections.Generic.List`1[[System.Object, mscorlib]], mscorlib",
                            "$values": [
                              0.0,
                              25000.0,
                              null,
                              null,
                              null,
                              null,
                              null,
                              null
                            ]
                          }
                        }
                      ]
                    },
                    "NonPrimaryInput": false,
                    "Max": "NaN",
                    "Min": "NaN",
                    "IsBalanceButNotCorkscrew": false,
                    "IsEditable": true,
                    "IsConstant": true,
                    "UniqueID": "85946403-dfa1-4b21-bc39-b5db4864043d",
                    "Dimensions": {
                      "$type": "ModelMakerEngine.MMDimensions, ModelMakerEngine",
                      "$values": []
                    },
                    "EquationOBXInternal": "{0,25000,,,,,,}",
                    "NameOfGroup": "Inventory",
                    "EquationToParse": "{0,25000,,,,,,}",
                    "MostRecentExpectedUnitErrors": null,
                    "Units": {
                      "$ref": "129"
                    },
                    "Name": "Opening Units in stock",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"267",
                    "$type": "ModelMaker.VariableNode, ModelMaker",
                    "RowTotalDependent": null,
                    "PutCalculationOnReport": false,
                    "CalculateOnThisReport": null,
                    "PivotTableLink": null,
                    "ExcelNameName": "Opening_Units_in_use",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"268",
                          "$type": "ModelMaker.DimensionedArrayValues, ModelMaker",
                          "Elements": {
                            "$type": "ModelMakerEngine.MMElements, ModelMakerEngine",
                            "$values": []
                          },
                          "Values": {
                            "$type": "System.Collections.Generic.List`1[[System.Object, mscorlib]], mscorlib",
                            "$values": [
                              0.0,
                              0.1,
                              null,
                              null,
                              null,
                              null,
                              null,
                              null
                            ]
                          }
                        }
                      ]
                    },
                    "NonPrimaryInput": false,
                    "Max": "NaN",
                    "Min": "NaN",
                    "IsBalanceButNotCorkscrew": false,
                    "IsEditable": true,
                    "IsConstant": true,
                    "UniqueID": "3d39c5b6-35ad-4454-b7d2-731e5d3519ee",
                    "Dimensions": {
                      "$type": "ModelMakerEngine.MMDimensions, ModelMakerEngine",
                      "$values": []
                    },
                    "EquationOBXInternal": "{0,0.1,,,,,,}",
                    "NameOfGroup": "Inventory",
                    "EquationToParse": "{0,0.1,,,,,,}",
                    "MostRecentExpectedUnitErrors": null,
                    "Units": {
                      "$ref": "132"
                    },
                    "Name": "Opening Units in use",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"269",
              "$type": "ModelMaker.GroupNode, ModelMaker",
              "TabOrHeaderColour": "",
              "Comment": "",
              "NameOfGroup": "Inputs",
              "YPosition": 5,
              "Folded": true,
              "Font": null,
              "Children": {
                "$type": "ModelMaker.GroupNodeChildCollection, ModelMaker",
                "$values": [
                  {
                    "$id": "270",
                    "$type": "ModelMaker.VariableNode, ModelMaker",
                    "RowTotalDependent": null,
                    "PutCalculationOnReport": false,
                    "CalculateOnThisReport": null,
                    "PivotTableLink": null,
                    "ExcelNameName": "Opening_VAT_balance",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"271",
                          "$type": "ModelMaker.DimensionedArrayValues, ModelMaker",
                          "Elements": {
                            "$type": "ModelMakerEngine.MMElements, ModelMakerEngine",
                            "$values": []
                          },
                          "Values": {
                            "$type": "System.Collections.Generic.List`1[[System.Object, mscorlib]], mscorlib",
                            "$values": [
                              0.0,
                              null,
                              0.0,
                              0.0,
                              0.0,
                              0.0,
                              0.0,
                              null
                            ]
                          }
                        }
                      ]
                    },
                    "NonPrimaryInput": false,
                    "Max": "NaN",
                    "Min": "NaN",
                    "IsBalanceButNotCorkscrew": false,
                    "IsEditable": true,
                    "IsConstant": true,
                    "UniqueID": "321f5e76-d468-4b7c-bf55-4bab15591456",
                    "Dimensions": {
                      "$type": "ModelMakerEngine.MMDimensions, ModelMakerEngine",
                      "$values": []
                    },
                    "EquationOBXInternal": "{0,,0,0,0,0,0,}",
                    "NameOfGroup": "Inputs.Opening Balances",
                    "EquationToParse": "{0,,0,0,0,0,0,}",
                    "MostRecentExpectedUnitErrors": null,
                    "Units": {
                      "$id": "272",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VAT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"273",
                    "$type": "ModelMaker.VariableNode, ModelMaker",
                    "RowTotalDependent": null,
                    "PutCalculationOnReport": false,
                    "CalculateOnThisReport": null,
                    "PivotTableLink": null,
                    "ExcelNameName": "Opening_Depreciation",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"274",
                          "$type": "ModelMaker.DimensionedArrayValues, ModelMaker",
                          "Elements": {
                            "$type": "ModelMakerEngine.MMElements, ModelMakerEngine",
                            "$values": []
                          },
                          "Values": {
                            "$type": "System.Collections.Generic.List`1[[System.Object, mscorlib]], mscorlib",
                            "$values": [
                              0.0,
                              null,
                              0.0,
                              0.0,
                              0.0,
                              0.0,
                              0.0,
                              null
                            ]
                          }
                        }
                      ]
                    },
                    "NonPrimaryInput": false,
                    "Max": "NaN",
                    "Min": "NaN",
                    "IsBalanceButNotCorkscrew": false,
                    "IsEditable": true,
                    "IsConstant": true,
                    "UniqueID": "73ceeca6-63c0-4beb-be6c-1897bc6af48c",
                    "Dimensions": {
                      "$type": "ModelMakerEngine.MMDimensions, ModelMakerEngine",
                      "$values": []
                    },
                    "EquationOBXInternal": "{0,,0,0,0,0,0,}",
                    "NameOfGroup": "Inputs.Opening Balances",
                    "EquationToParse": "{0,,0,0,0,0,0,}",
                    "MostRecentExpectedUnitErrors": null,
                    "Units": {
                      "$ref": "2"
                    },
                    "Name": "Opening Depreciation",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"275",
                    "$type": "ModelMaker.VariableNode, ModelMaker",
                    "RowTotalDependent": null,
                    "PutCalculationOnReport": false,
                    "CalculateOnThisReport": null,
                    "PivotTableLink": null,
                    "ExcelNameName": "Opening_Share_Capital",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"276",
                          "$type": "ModelMaker.DimensionedArrayValues, ModelMaker",
                          "Elements": {
                            "$type": "ModelMakerEngine.MMElements, ModelMakerEngine",
                            "$values": []
                          },
                          "Values": {
                            "$type": "System.Collections.Generic.List`1[[System.Object, mscorlib]], mscorlib",
                            "$values": [
                              0.0,
                              1000.0,
                              0.0,
                              0.0,
                              0.0,
                              0.0,
                              0.0,
                              null
                            ]
                          }
                        }
                      ]
                    },
                    "NonPrimaryInput": false,
                    "Max": "NaN",
                    "Min": "NaN",
                    "IsBalanceButNotCorkscrew": false,
                    "IsEditable": true,
                    "IsConstant": true,
                    "UniqueID": "0544c37a-888f-45fe-84b6-ee8c4d089c62",
                    "Dimensions": {
                      "$type": "ModelMakerEngine.MMDimensions, ModelMakerEngine",
                      "$values": []
                    },
                    "EquationOBXInternal": "{0,1000,0,0,0,0,0,}",
                    "NameOfGroup": "Equity",
                    "EquationToParse": "{0,1000,0,0,0,0,0,}",
                    "MostRecentExpectedUnitErrors": null,
                    "Units": {
                      "$ref": "2"
                    },
                    "Name": "Opening Share Capital",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"277",
                    "$type": "ModelMaker.VariableNode, ModelMaker",
                    "RowTotalDependent": null,
                    "PutCalculationOnReport": false,
                    "CalculateOnThisReport": null,
                    "PivotTableLink": null,
                    "ExcelNameName": "Opening_Cash",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"278",
                          "$type": "ModelMaker.DimensionedArrayValues, ModelMaker",
                          "Elements": {
                            "$type": "ModelMakerEngine.MMElements, ModelMakerEngine",
                            "$values": []
                          },
                          "Values": {
                            "$type": "System.Collections.Generic.List`1[[System.Object, mscorlib]], mscorlib",
                            "$values": [
                              0.0,
                              0.3,
                              null,
                              null,
                              null,
                              null,
                              null,
                              null
                            ]
                          }
                        }
                      ]
                    },
                    "NonPrimaryInput": false,
                    "Max": "NaN",
                    "Min": "NaN",
                    "IsBalanceButNotCorkscrew": false,
                    "IsEditable": true,
                    "IsConstant": true,
                    "UniqueID": "6718f81e-febb-4d0c-91fa-c95ec0976556",
                    "Dimensions": {
                      "$type": "ModelMakerEngine.MMDimensions, ModelMakerEngine",
                      "$values": []
                    },
                    "EquationOBXInternal": "{0,0.3,,,,,,}",
                    "NameOfGroup": "Financials",
                    "EquationToParse": "{0,0.3,,,,,,}",
                    "MostRecentExpectedUnitErrors": null,
                    "Units": {
                      "$ref": "2"
                    },
                    "Name": "Opening Cash",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"279",
                    "$type": "ModelMaker.VariableNode, ModelMaker",
                    "RowTotalDependent": null,
                    "PutCalculationOnReport": false,
                    "CalculateOnThisReport": null,
                    "PivotTableLink": null,
                    "ExcelNameName": "Opening_Deferred_Income",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"280",
                          "$type": "ModelMaker.DimensionedArrayValues, ModelMaker",
                          "Elements": {
                            "$type": "ModelMakerEngine.MMElements, ModelMakerEngine",
                            "$values": []
                          },
                          "Values": {
                            "$type": "System.Collections.Generic.List`1[[System.Object, mscorlib]], mscorlib",
                            "$values": [
                              0.0,
                              6.0,
                              0.0,
                              0.0,
                              0.0,
                              0.0,
                              0.0,
                              null
                            ]
                          }
                        }
                      ]
                    },
                    "NonPrimaryInput": false,
                    "Max": "NaN",
                    "Min": "NaN",
                    "IsBalanceButNotCorkscrew": false,
                    "IsEditable": true,
                    "IsConstant": true,
                    "UniqueID": "49d9b1f1-a437-4cb7-acb5-9a421fd310be",
                    "Dimensions": {
                      "$type": "ModelMakerEngine.MMDimensions, ModelMakerEngine",
                      "$values": []
                    },
                    "EquationOBXInternal": "{0,6,0,0,0,0,0,}",
                    "NameOfGroup": "Financials",
                    "EquationToParse": "{0,6,0,0,0,0,0,}",
                    "MostRecentExpectedUnitErrors": null,
                    "Units": {
                      "$ref": "2"
                    },
                    "Name": "Opening Deferred Income",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"281",
                    "$type": "ModelMaker.VariableNode, ModelMaker",
                    "RowTotalDependent": null,
                    "PutCalculationOnReport": false,
                    "CalculateOnThisReport": null,
                    "PivotTableLink": null,
                    "ExcelNameName": "Opening_Inventory",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"282",
                          "$type": "ModelMaker.DimensionedArrayValues, ModelMaker",
                          "Elements": {
                            "$type": "ModelMakerEngine.MMElements, ModelMakerEngine",
                            "$values": []
                          },
                          "Values": {
                            "$type": "System.Collections.Generic.List`1[[System.Object, mscorlib]], mscorlib",
                            "$values": [
                              0.0,
                              35.0,
                              0.0,
                              0.0,
                              0.0,
                              0.0,
                              0.0,
                              null
                            ]
                          }
                        }
                      ]
                    },
                    "NonPrimaryInput": false,
                    "Max": "NaN",
                    "Min": "NaN",
                    "IsBalanceButNotCorkscrew": false,
                    "IsEditable": true,
                    "IsConstant": true,
                    "UniqueID": "961de98c-41b7-4492-8a86-8b45f5bc65f6",
                    "Dimensions": {
                      "$type": "ModelMakerEngine.MMDimensions, ModelMakerEngine",
                      "$values": []
                    },
                    "EquationOBXInternal": "{0,35,0,0,0,0,0,}",
                    "NameOfGroup": "Unallocated",
                    "EquationToParse": "{0,35,0,0,0,0,0,}",
                    "MostRecentExpectedUnitErrors": null,
                    "Units": {
                      "$ref": "2"
                    },
                    "Name": "Opening Inventory",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"283",
                    "$type": "ModelMaker.VariableNode, ModelMaker",
                    "RowTotalDependent": null,
                    "PutCalculationOnReport": false,
                    "CalculateOnThisReport": null,
                    "PivotTableLink": null,
                    "ExcelNameName": "Opening_Debtors",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"284",
                          "$type": "ModelMaker.DimensionedArrayValues, ModelMaker",
                          "Elements": {
                            "$type": "ModelMakerEngine.MMElements, ModelMakerEngine",
                            "$values": []
                          },
                          "Values": {
                            "$type": "System.Collections.Generic.List`1[[System.Object, mscorlib]], mscorlib",
                            "$values": [
                              0.0,
                              5000.0,
                              0.0,
                              0.0,
                              0.0,
                              0.0,
                              0.0,
                              null
                            ]
                          }
                        }
                      ]
                    },
                    "NonPrimaryInput": false,
                    "Max": "NaN",
                    "Min": "NaN",
                    "IsBalanceButNotCorkscrew": false,
                    "IsEditable": true,
                    "IsConstant": true,
                    "UniqueID": "72297d63-35c3-44e0-95d7-56a7f0189c7d",
                    "Dimensions": {
                      "$type": "ModelMakerEngine.MMDimensions, ModelMakerEngine",
                      "$values": []
                    },
                    "EquationOBXInternal": "{0,5000,0,0,0,0,0,}",
                    "NameOfGroup": "Inputs",
                    "EquationToParse": "{0,5000,0,0,0,0,0,}",
                    "MostRecentExpectedUnitErrors": null,
                    "Units": {
                      "$ref": "2"
                    },
                    "Name": "Opening Debtors",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"285",
                    "$type": "ModelMaker.VariableNode, ModelMaker",
                    "RowTotalDependent": null,
                    "PutCalculationOnReport": false,
                    "CalculateOnThisReport": null,
                    "PivotTableLink": null,
                    "ExcelNameName": "Opening_Creditors",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"286",
                          "$type": "ModelMaker.DimensionedArrayValues, ModelMaker",
                          "Elements": {
                            "$type": "ModelMakerEngine.MMElements, ModelMakerEngine",
                            "$values": []
                          },
                          "Values": {
                            "$type": "System.Collections.Generic.List`1[[System.Object, mscorlib]], mscorlib",
                            "$values": [
                              0.0,
                              null,
                              0.0,
                              0.0,
                              0.0,
                              0.0,
                              0.0,
                              null
                            ]
                          }
                        }
                      ]
                    },
                    "NonPrimaryInput": false,
                    "Max": "NaN",
                    "Min": "NaN",
                    "IsBalanceButNotCorkscrew": false,
                    "IsEditable": true,
                    "IsConstant": true,
                    "UniqueID": "a07a1448-a43a-4269-8703-6232433c614d",
                    "Dimensions": {
                      "$type": "ModelMakerEngine.MMDimensions, ModelMakerEngine",
                      "$values": []
                    },
                    "EquationOBXInternal": "{0,,0,0,0,0,0,}",
                    "NameOfGroup": "Inputs",
                    "EquationToParse": "{0,,0,0,0,0,0,}",
                    "MostRecentExpectedUnitErrors": null,
                    "Units": {
                      "$ref": "2"
                    },
                    "Name": "Opening Creditors",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"287",
                    "$type": "ModelMaker.VariableNode, ModelMaker",
                    "RowTotalDependent": null,
                    "PutCalculationOnReport": false,
                    "CalculateOnThisReport": null,
                    "PivotTableLink": null,
                    "ExcelNameName": "Opening_Retained_Earnings",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"288",
                          "$type": "ModelMaker.DimensionedArrayValues, ModelMaker",
                          "Elements": {
                            "$type": "ModelMakerEngine.MMElements, ModelMakerEngine",
                            "$values": []
                          },
                          "Values": {
                            "$type": "System.Collections.Generic.List`1[[System.Object, mscorlib]], mscorlib",
                            "$values": [
                              0.0,
                              null,
                              0.0,
                              0.0,
                              0.0,
                              0.0,
                              0.0,
                              null
                            ]
                          }
                        }
                      ]
                    },
                    "NonPrimaryInput": false,
                    "Max": "NaN",
                    "Min": "NaN",
                    "IsBalanceButNotCorkscrew": false,
                    "IsEditable": true,
                    "IsConstant": true,
                    "UniqueID": "8209147d-806d-42c2-8ec2-5ee26657b6e3",
                    "Dimensions": {
                      "$type": "ModelMakerEngine.MMDimensions, ModelMakerEngine",
                      "$values": []
                    },
                    "EquationOBXInternal": "{0,,0,0,0,0,0,}",
                    "NameOfGroup": "Unallocated",
                    "EquationToParse": "{0,,0,0,0,0,0,}",
                    "MostRecentExpectedUnitErrors": null,
                    "Units": {
                      "$ref": "2"
                    },
                    "Name": "Opening Retained Earnings",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"Opening Balances",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"289",
              "$type": "ModelMaker.GroupNode, ModelMaker",
              "TabOrHeaderColour": "",
              "Comment": "",
              "NameOfGroup": "Inputs",
              "YPosition": 6,
              "Folded": true,
              "Font": null,
              "Children": {
                "$type": "ModelMaker.GroupNodeChildCollection, ModelMaker",
                "$values": [
                  {
                    "$id": "290",
                    "$type": "ModelMaker.VariableNode, ModelMaker",
                    "RowTotalDependent": null,
                    "PutCalculationOnReport": false,
                    "CalculateOnThisReport": null,
                    "PivotTableLink": null,
                    "ExcelNameName": "Days_in_period",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"291",
                          "$type": "ModelMaker.DimensionedArrayValues, ModelMaker",
                          "Elements": {
                            "$type": "ModelMakerEngine.MMElements, ModelMakerEngine",
                            "$values": []
                          },
                          "Values": {
                            "$type": "System.Collections.Generic.List`1[[System.Object, mscorlib]], mscorlib",
                            "$values": [
                              30.0,
                              0.0,
                              30.0,
                              30.0,
                              30.0,
                              30.0,
                              30.0,
                              null
                            ]
                          }
                        }
                      ]
                    },
                    "NonPrimaryInput": false,
                    "Max": "NaN",
                    "Min": "NaN",
                    "IsBalanceButNotCorkscrew": false,
                    "IsEditable": true,
                    "IsConstant": true,
                    "UniqueID": "64c17375-0790-4da8-b058-98c94b95f697",
                    "Dimensions": {
                      "$type": "ModelMakerEngine.MMDimensions, ModelMakerEngine",
                      "$values": []
                    },
                    "EquationOBXInternal": "{30,0,30,30,30,30,30,}",
                    "NameOfGroup": "Inputs.Debt",
                    "EquationToParse": "{30,0,30,30,30,30,30,}",
                    "MostRecentExpectedUnitErrors": null,
                    "Units": {
                      "$id": "292",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"Days in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"293",
                    "$type": "ModelMaker.VariableNode, ModelMaker",
                    "RowTotalDependent": null,
                    "PutCalculationOnReport": false,
                    "CalculateOnThisReport": null,
                    "PivotTableLink": null,
                    "ExcelNameName": "debt_day_count_convention",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"294",
                          "$type": "ModelMaker.DimensionedArrayValues, ModelMaker",
                          "Elements": {
                            "$type": "ModelMakerEngine.MMElements, ModelMakerEngine",
                            "$values": []
                          },
                          "Values": {
                            "$type": "System.Collections.Generic.List`1[[System.Object, mscorlib]], mscorlib",
                            "$values": [
                              360.0,
                              0.0,
                              360.0,
                              360.0,
                              360.0,
                              360.0,
                              360.0,
                              null
                            ]
                          }
                        }
                      ]
                    },
                    "NonPrimaryInput": false,
                    "Max": "NaN",
                    "Min": "NaN",
                    "IsBalanceButNotCorkscrew": false,
                    "IsEditable": true,
                    "IsConstant": true,
                    "UniqueID": "1d49f3c9-47f1-4fcc-a3cb-3af41ddc226f",
                    "Dimensions": {
                      "$type": "ModelMakerEngine.MMDimensions, ModelMakerEngine",
                      "$values": []
                    },
                    "EquationOBXInternal": "{360,0,360,360,360,360,360,}",
                    "NameOfGroup": "Inputs.Debt",
                    "EquationToParse": "{360,0,360,360,360,360,360,}",
                    "MostRecentExpectedUnitErrors": null,
                    "Units": {
                      "$id": "295",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"debt day count convention",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"296",
                    "$type": "ModelMaker.GroupNode, ModelMaker",
                    "TabOrHeaderColour": "",
                    "Comment": "",
                    "NameOfGroup": "Inputs.Debt",
                    "YPosition": 2,
                    "Folded": true,
                    "Font": null,
                    "Children": {
                      "$type": "ModelMaker.GroupNodeChildCollection, ModelMaker",
                      "$values": [
                        {
                          "$id": "297",
                          "$type": "ModelMaker.VariableNode, ModelMaker",
                          "RowTotalDependent": null,
                          "PutCalculationOnReport": false,
                          "CalculateOnThisReport": null,
                          "PivotTableLink": null,
                          "ExcelNameName": "Invoice_Finance_Enabled_beginning_date",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"298",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"d1988932-a2cf-4148-adce-f1ddaac9018f",
                          "Dimensions": {
                            "$type": "ModelMakerEngine.MMDimensions, ModelMakerEngine",
                            "$values": []
                          },
                          "EquationOBXInternal": "{0,,,,,,,}",
                          "NameOfGroup": "Inputs.Debt.Invoice finance",
                          "EquationToParse": "{0,,,,,,,}",
                          "MostRecentExpectedUnitErrors": null,
                          "Units": {
                            "$id": "299",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"300",
                          "$type": "ModelMaker.VariableNode, ModelMaker",
                          "RowTotalDependent": null,
                          "PutCalculationOnReport": false,
                          "CalculateOnThisReport": null,
                          "PivotTableLink": null,
                          "ExcelNameName": "Invoice_Finance_Enabled_end_date",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"301",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"b4deb88b-d3c0-4baa-8e46-46d0da9a842c",
                          "Dimensions": {
                            "$type": "ModelMakerEngine.MMDimensions, ModelMakerEngine",
                            "$values": []
                          },
                          "EquationOBXInternal": "{0,0,,,,,,}",
                          "NameOfGroup": "Inputs.Debt.Invoice finance",
                          "EquationToParse": "{0,0,,,,,,}",
                          "MostRecentExpectedUnitErrors": null,
                          "Units": {
                            "$id": "302",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"303",
                          "$type": "ModelMaker.VariableNode, ModelMaker",
                          "RowTotalDependent": null,
                          "PutCalculationOnReport": false,
                          "CalculateOnThisReport": null,
                          "PivotTableLink": null,
                          "ExcelNameName": "Invoice_Finance_Advance__",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"304",
                                "$type": "ModelMaker.DimensionedArrayValues, ModelMaker",
                                "Elements": {
                                  "$type": "ModelMakerEngine.MMElements, ModelMakerEngine",
                                  "$values": []
                                },
                                "Values": {
                                  "$type": "System.Collections.Generic.List`1[[System.Object, mscorlib]], mscorlib",
                                  "$values": [
                                    0.9,
                                    0.0,
                                    0.9,
                                    0.9,
                                    0.9,
                                    0.9,
                                    0.9,
                                    null
                                  ]
                                }
                              }
                            ]
                          },
                          "NonPrimaryInput": false,
                          "Max": "NaN",
                          "Min": "NaN",
                          "IsBalanceButNotCorkscrew": false,
                          "IsEditable": true,
                          "IsConstant": true,
                          "UniqueID": "ba941f73-2371-40d4-af26-b4c532a5f626",
                          "Dimensions": {
                            "$type": "ModelMakerEngine.MMDimensions, ModelMakerEngine",
                            "$values": []
                          },
                          "EquationOBXInternal": "{0.9,0,0.9,0.9,0.9,0.9,0.9,}",
                          "NameOfGroup": "Inputs.Debt",
                          "EquationToParse": "{0.9,0,0.9,0.9,0.9,0.9,0.9,}",
                          "MostRecentExpectedUnitErrors": null,
                          "Units": {
                            "$id": "305",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"306",
                          "$type": "ModelMaker.VariableNode, ModelMaker",
                          "RowTotalDependent": null,
                          "PutCalculationOnReport": false,
                          "CalculateOnThisReport": null,
                          "PivotTableLink": null,
                          "ExcelNameName": "All_in_Invoice_Finance_annual_interest_rate",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"307",
                                "$type": "ModelMaker.DimensionedArrayValues, ModelMaker",
                                "Elements": {
                                  "$type": "ModelMakerEngine.MMElements, ModelMakerEngine",
                                  "$values": []
                                },
                                "Values": {
                                  "$type": "System.Collections.Generic.List`1[[System.Object, mscorlib]], mscorlib",
                                  "$values": [
                                    0.085,
                                    0.0,
                                    0.1,
                                    0.1,
                                    0.1,
                                    0.1,
                                    0.1,
                                    null
                                  ]
                                }
                              }
                            ]
                          },
                          "NonPrimaryInput": false,
                          "Max": "NaN",
                          "Min": "NaN",
                          "IsBalanceButNotCorkscrew": false,
                          "IsEditable": true,
                          "IsConstant": true,
                          "UniqueID": "f5437049-b0cc-4ece-b798-ef12152e7a31",
                          "Dimensions": {
                            "$type": "ModelMakerEngine.MMDimensions, ModelMakerEngine",
                            "$values": []
                          },
                          "EquationOBXInternal": "{0.085,0,0.1,0.1,0.1,0.1,0.1,}",
                          "NameOfGroup": "Inputs.Debt",
                          "EquationToParse": "{0.085,0,0.1,0.1,0.1,0.1,0.1,}",
                          "MostRecentExpectedUnitErrors": null,
                          "Units": {
                            "$id": "308",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Invoice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"309",
                          "$type": "ModelMaker.VariableNode, ModelMaker",
                          "RowTotalDependent": null,
                          "PutCalculationOnReport": false,
                          "CalculateOnThisReport": null,
                          "PivotTableLink": null,
                          "ExcelNameName": "Opening_Invoice_finance_balance",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"310",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"be251c2a-6a35-4d1b-82ba-750c4ee916f6",
                          "Dimensions": {
                            "$type": "ModelMakerEngine.MMDimensions, ModelMakerEngine",
                            "$values": []
                          },
                          "EquationOBXInternal": "{0,0,,,,,,}",
                          "NameOfGroup": "Invoice finance",
                          "EquationToParse": "{0,0,,,,,,}",
                          "MostRecentExpectedUnitErrors": null,
                          "Units": {
                            "$ref": "2"
                          },
                          "Name": "Opening Invoice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"Invoice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"311",
                    "$type": "ModelMaker.GroupNode, ModelMaker",
                    "TabOrHeaderColour": "",
                    "Comment": "",
                    "NameOfGroup": "Inputs.Debt",
                    "YPosition": 3,
                    "Folded": true,
                    "Font": null,
                    "Children": {
                      "$type": "ModelMaker.GroupNodeChildCollection, ModelMaker",
                      "$values": [
                        {
                          "$id": "312",
                          "$type": "ModelMaker.VariableNode, ModelMaker",
                          "RowTotalDependent": null,
                          "PutCalculationOnReport": false,
                          "CalculateOnThisReport": null,
                          "PivotTableLink": null,
                          "ExcelNameName": "Supply_Chain_Finance_enabled_end_date",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"313",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"814fbb2b-c4c8-4edb-a4cd-addd295b52bc",
                          "Dimensions": {
                            "$type": "ModelMakerEngine.MMDimensions, ModelMakerEngine",
                            "$values": []
                          },
                          "EquationOBXInternal": "{0,0,,,,,,}",
                          "NameOfGroup": "Inputs.Debt.Trade Finance",
                          "EquationToParse": "{0,0,,,,,,}",
                          "MostRecentExpectedUnitErrors": null,
                          "Units": {
                            "$id": "314",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"315",
                          "$type": "ModelMaker.VariableNode, ModelMaker",
                          "RowTotalDependent": null,
                          "PutCalculationOnReport": false,
                          "CalculateOnThisReport": null,
                          "PivotTableLink": null,
                          "ExcelNameName": "Supply_Chain_Finance_enabled_beginning_date",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"316",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"0887d76a-1124-4f14-b529-40dde7a65b59",
                          "Dimensions": {
                            "$type": "ModelMakerEngine.MMDimensions, ModelMakerEngine",
                            "$values": []
                          },
                          "EquationOBXInternal": "{0,0,,,,,,}",
                          "NameOfGroup": "Inputs.Debt.Trade Finance",
                          "EquationToParse": "{0,0,,,,,,}",
                          "MostRecentExpectedUnitErrors": null,
                          "Units": {
                            "$id": "317",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"318",
                          "$type": "ModelMaker.VariableNode, ModelMaker",
                          "RowTotalDependent": null,
                          "PutCalculationOnReport": false,
                          "CalculateOnThisReport": null,
                          "PivotTableLink": null,
                          "ExcelNameName": "Opening_Supply_Chain_Finance_balance",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"319",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"4a8dfee8-61bb-4ada-b9b9-f68074d8b6ce",
                          "Dimensions": {
                            "$type": "ModelMakerEngine.MMDimensions, ModelMakerEngine",
                            "$values": []
                          },
                          "EquationOBXInternal": "{0,0,0,0,0,0,0,}",
                          "NameOfGroup": "Inputs.Debt",
                          "EquationToParse": "{0,0,0,0,0,0,0,}",
                          "MostRecentExpectedUnitErrors": null,
                          "Units": {
                            "$id": "320",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Supply Chain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"321",
                          "$type": "ModelMaker.VariableNode, ModelMaker",
                          "RowTotalDependent": null,
                          "PutCalculationOnReport": false,
                          "CalculateOnThisReport": null,
                          "PivotTableLink": null,
                          "ExcelNameName": "All_in_Supply_Chain_Finance_annual_interest_rate",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"322",
                                "$type": "ModelMaker.DimensionedArrayValues, ModelMaker",
                                "Elements": {
                                  "$type": "ModelMakerEngine.MMElements, ModelMakerEngine",
                                  "$values": []
                                },
                                "Values": {
                                  "$type": "System.Collections.Generic.List`1[[System.Object, mscorlib]], mscorlib",
                                  "$values": [
                                    0.08,
                                    null,
                                    0.08,
                                    0.08,
                                    0.08,
                                    0.08,
                                    0.08,
                                    null
                                  ]
                                }
                              }
                            ]
                          },
                          "NonPrimaryInput": false,
                          "Max": "NaN",
                          "Min": "NaN",
                          "IsBalanceButNotCorkscrew": false,
                          "IsEditable": true,
                          "IsConstant": true,
                          "UniqueID": "0c9a9564-9ef9-43bf-8c7d-da8795c48cec",
                          "Dimensions": {
                            "$type": "ModelMakerEngine.MMDimensions, ModelMakerEngine",
                            "$values": []
                          },
                          "EquationOBXInternal": "{0.08,,0.08,0.08,0.08,0.08,0.08,}",
                          "NameOfGroup": "Inputs.Debt",
                          "EquationToParse": "{0.08,,0.08,0.08,0.08,0.08,0.08,}",
                          "MostRecentExpectedUnitErrors": null,
                          "Units": {
                            "$id": "323",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Supply Chain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"324",
                          "$type": "ModelMaker.VariableNode, ModelMaker",
                          "RowTotalDependent": null,
                          "PutCalculationOnReport": false,
                          "CalculateOnThisReport": null,
                          "PivotTableLink": null,
                          "ExcelNameName": "Supply_Chain_Finance_Advance__",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"325",
                                "$type": "ModelMaker.DimensionedArrayValues, ModelMaker",
                                "Elements": {
                                  "$type": "ModelMakerEngine.MMElements, ModelMakerEngine",
                                  "$values": []
                                },
                                "Values": {
                                  "$type": "System.Collections.Generic.List`1[[System.Object, mscorlib]], mscorlib",
                                  "$values": [
                                    0.8,
                                    null,
                                    0.8,
                                    0.8,
                                    0.8,
                                    0.8,
                                    0.8,
                                    null
                                  ]
                                }
                              }
                            ]
                          },
                          "NonPrimaryInput": false,
                          "Max": "NaN",
                          "Min": "NaN",
                          "IsBalanceButNotCorkscrew": false,
                          "IsEditable": true,
                          "IsConstant": true,
                          "UniqueID": "61afba01-6f56-4fee-8b2c-b79a22a19a6e",
                          "Dimensions": {
                            "$type": "ModelMakerEngine.MMDimensions, ModelMakerEngine",
                            "$values": []
                          },
                          "EquationOBXInternal": "{0.8,,0.8,0.8,0.8,0.8,0.8,}",
                          "NameOfGroup": "Inputs.Debt",
                          "EquationToParse": "{0.8,,0.8,0.8,0.8,0.8,0.8,}",
                          "MostRecentExpectedUnitErrors": null,
                          "Units": {
                            "$id": "326",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
                    "Name": "Supply Chain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"327",
                    "$type": "ModelMaker.GroupNode, ModelMaker",
                    "TabOrHeaderColour": "",
                    "Comment": "",
                    "NameOfGroup": "Inputs.Debt",
                    "YPosition": 4,
                    "Folded": true,
                    "Font": null,
                    "Children": {
                      "$type": "ModelMaker.GroupNodeChildCollection, ModelMaker",
                      "$values": [
                        {
                          "$id": "328",
                          "$type": "ModelMaker.VariableNode, ModelMaker",
                          "RowTotalDependent": null,
                          "PutCalculationOnReport": false,
                          "CalculateOnThisReport": null,
                          "PivotTableLink": null,
                          "ExcelNameName": "Asset_Finance_Enabled_end_date",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"329",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"0d62d1c3-4a09-46be-88e7-6579ab5f4487",
                          "Dimensions": {
                            "$type": "ModelMakerEngine.MMDimensions, ModelMakerEngine",
                            "$values": []
                          },
                          "EquationOBXInternal": "{0,,,,,,,}",
                          "NameOfGroup": "Time.Debts flags",
                          "EquationToParse": "{0,,,,,,,}",
                          "MostRecentExpectedUnitErrors": null,
                          "Units": {
                            "$id": "330",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"331",
                          "$type": "ModelMaker.VariableNode, ModelMaker",
                          "RowTotalDependent": null,
                          "PutCalculationOnReport": false,
                          "CalculateOnThisReport": null,
                          "PivotTableLink": null,
                          "ExcelNameName": "Asset_Finance_Enabled_beginning_date",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"332",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"6f99a64d-cee5-4b3b-8509-3227630c3fe1",
                          "Dimensions": {
                            "$type": "ModelMakerEngine.MMDimensions, ModelMakerEngine",
                            "$values": []
                          },
                          "EquationOBXInternal": "{0,,,,,,,}",
                          "NameOfGroup": "Time.Debts flags",
                          "EquationToParse": "{0,,,,,,,}",
                          "MostRecentExpectedUnitErrors": null,
                          "Units": {
                            "$id": "333",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"334",
                          "$type": "ModelMaker.VariableNode, ModelMaker",
                          "RowTotalDependent": null,
                          "PutCalculationOnReport": false,
                          "CalculateOnThisReport": null,
                          "PivotTableLink": null,
                          "ExcelNameName": "All_in_Trade_finance_annual_interest_rate",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"335",
                                "$type": "ModelMaker.DimensionedArrayValues, ModelMaker",
                                "Elements": {
                                  "$type": "ModelMakerEngine.MMElements, ModelMakerEngine",
                                  "$values": []
                                },
                                "Values": {
                                  "$type": "System.Collections.Generic.List`1[[System.Object, mscorlib]], mscorlib",
                                  "$values": [
                                    0.08,
                                    0.0,
                                    null,
                                    null,
                                    null,
                                    null,
                                    null,
                                    null
                                  ]
                                }
                              }
                            ]
                          },
                          "NonPrimaryInput": false,
                          "Max": "NaN",
                          "Min": "NaN",
                          "IsBalanceButNotCorkscrew": false,
                          "IsEditable": true,
                          "IsConstant": true,
                          "UniqueID": "75dfcfe6-08fb-4fb8-929e-93d8c6d41184",
                          "Dimensions": {
                            "$type": "ModelMakerEngine.MMDimensions, ModelMakerEngine",
                            "$values": []
                          },
                          "EquationOBXInternal": "{0.08,0,,,,,,}",
                          "NameOfGroup": "Asset Finance",
                          "EquationToParse": "{0.08,0,,,,,,}",
                          "MostRecentExpectedUnitErrors": null,
                          "Units": {
                            "$id": "336",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Trade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"337",
                          "$type": "ModelMaker.VariableNode, ModelMaker",
                          "RowTotalDependent": null,
                          "PutCalculationOnReport": false,
                          "CalculateOnThisReport": null,
                          "PivotTableLink": null,
                          "ExcelNameName": "Asset_Finance_Period",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"338",
                                "$type": "ModelMaker.DimensionedArrayValues, ModelMaker",
                                "Elements": {
                                  "$type": "ModelMakerEngine.MMElements, ModelMakerEngine",
                                  "$values": []
                                },
                                "Values": {
                                  "$type": "System.Collections.Generic.List`1[[System.Object, mscorlib]], mscorlib",
                                  "$values": [
                                    24.0,
                                    0.0,
                                    null,
                                    null,
                                    null,
                                    null,
                                    null,
                                    null
                                  ]
                                }
                              }
                            ]
                          },
                          "NonPrimaryInput": false,
                          "Max": "NaN",
                          "Min": "NaN",
                          "IsBalanceButNotCorkscrew": false,
                          "IsEditable": true,
                          "IsConstant": true,
                          "UniqueID": "35e8f4dc-9d29-4d0b-ba64-54456776a5f8",
                          "Dimensions": {
                            "$type": "ModelMakerEngine.MMDimensions, ModelMakerEngine",
                            "$values": []
                          },
                          "EquationOBXInternal": "{24,0,,,,,,}",
                          "NameOfGroup": "Asset Finance",
                          "EquationToParse": "{24,0,,,,,,}",
                          "MostRecentExpectedUnitErrors": null,
                          "Units": {
                            "$id": "339",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"Asset Finance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"340",
                          "$type": "ModelMaker.VariableNode, ModelMaker",
                          "RowTotalDependent": null,
                          "PutCalculationOnReport": false,
                          "CalculateOnThisReport": null,
                          "PivotTableLink": null,
                          "ExcelNameName": "Asset_Finance_Advance__",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"341",
                                "$type": "ModelMaker.DimensionedArrayValues, ModelMaker",
                                "Elements": {
                                  "$type": "ModelMakerEngine.MMElements, ModelMakerEngine",
                                  "$values": []
                                },
                                "Values": {
                                  "$type": "System.Collections.Generic.List`1[[System.Object, mscorlib]], mscorlib",
                                  "$values": [
                                    1.0,
                                    0.9,
                                    null,
                                    null,
                                    null,
                                    null,
                                    null,
                                    null
                                  ]
                                }
                              }
                            ]
                          },
                          "NonPrimaryInput": false,
                          "Max": "NaN",
                          "Min": "NaN",
                          "IsBalanceButNotCorkscrew": false,
                          "IsEditable": true,
                          "IsConstant": true,
                          "UniqueID": "ddb4b1b1-dcdf-4f83-8ad5-88c662b5f500",
                          "Dimensions": {
                            "$type": "ModelMakerEngine.MMDimensions, ModelMakerEngine",
                            "$values": []
                          },
                          "EquationOBXInternal": "{1,0.9,,,,,,}",
                          "NameOfGroup": "Asset Finance",
                          "EquationToParse": "{1,0.9,,,,,,}",
                          "MostRecentExpectedUnitErrors": null,
                          "Units": {
                            "$id": "342",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"343",
                          "$type": "ModelMaker.VariableNode, ModelMaker",
                          "RowTotalDependent": null,
                          "PutCalculationOnReport": false,
                          "CalculateOnThisReport": null,
                          "PivotTableLink": null,
                          "ExcelNameName": "Opening_Asset_Finance_balance",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"344",
                                "$type": "ModelMaker.DimensionedArrayValues, ModelMaker",
                                "Elements": {
                                  "$type": "ModelMakerEngine.MMElements, ModelMakerEngine",
                                  "$values": []
                                },
                                "Values": {
                                  "$type": "System.Collections.Generic.List`1[[System.Object, mscorlib]], mscorlib",
                                  "$values": [
                                    0.0,
                                    0.085,
                                    null,
                                    null,
                                    null,
                                    null,
                                    null,
                                    null
                                  ]
                                }
                              }
                            ]
                          },
                          "NonPrimaryInput": false,
                          "Max": "NaN",
                          "Min": "NaN",
                          "IsBalanceButNotCorkscrew": false,
                          "IsEditable": true,
                          "IsConstant": true,
                          "UniqueID": "5e7c48b2-1a33-4e9a-a57b-9b4e4293c4b2",
                          "Dimensions": {
                            "$type": "ModelMakerEngine.MMDimensions, ModelMakerEngine",
                            "$values": []
                          },
                          "EquationOBXInternal": "{0,0.085,,,,,,}",
                          "NameOfGroup": "Asset Finance",
                          "EquationToParse": "{0,0.085,,,,,,}",
                          "MostRecentExpectedUnitErrors": null,
                          "Units": {
                            "$ref": "2"
                          },
                          "Name": "Opening Asset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"Asset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"Debt",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"345",
              "$type": "ModelMaker.GroupNode, ModelMaker",
              "TabOrHeaderColour": "",
              "Comment": "",
              "NameOfGroup": "Inputs",
              "YPosition": 7,
              "Folded": true,
              "Font": null,
              "Children": {
                "$type": "ModelMaker.GroupNodeChildCollection, ModelMaker",
                "$values": [
                  {
                    "$id": "346",
                    "$type": "ModelMaker.VariableNode, ModelMaker",
                    "RowTotalDependent": null,
                    "PutCalculationOnReport": false,
                    "CalculateOnThisReport": null,
                    "PivotTableLink": null,
                    "ExcelNameName": "VAT_return_this_period_every_x_periods",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"347",
                          "$type": "ModelMaker.DimensionedArrayValues, ModelMaker",
                          "Elements": {
                            "$type": "ModelMakerEngine.MMElements, ModelMakerEngine",
                            "$values": []
                          },
                          "Values": {
                            "$type": "System.Collections.Generic.List`1[[System.Object, mscorlib]], mscorlib",
                            "$values": [
                              3.0,
                              null,
                              3.0,
                              3.0,
                              3.0,
                              3.0,
                              3.0,
                              null
                            ]
                          }
                        }
                      ]
                    },
                    "NonPrimaryInput": false,
                    "Max": "NaN",
                    "Min": "NaN",
                    "IsBalanceButNotCorkscrew": false,
                    "IsEditable": true,
                    "IsConstant": true,
                    "UniqueID": "9a4e31e9-a2d9-47df-8429-673371d439e8",
                    "Dimensions": {
                      "$type": "ModelMakerEngine.MMDimensions, ModelMakerEngine",
                      "$values": []
                    },
                    "EquationOBXInternal": "{3,,3,3,3,3,3,}",
                    "NameOfGroup": "Time.VAT return this period flag",
                    "EquationToParse": "{3,,3,3,3,3,3,}",
                    "MostRecentExpectedUnitErrors": null,
                    "Units": {
                      "$id": "348",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return this period every x periods",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"349",
                    "$type": "ModelMaker.VariableNode, ModelMaker",
                    "RowTotalDependent": null,
                    "PutCalculationOnReport": false,
                    "CalculateOnThisReport": null,
                    "PivotTableLink": null,
                    "ExcelNameName": "VAT_return_this_period_beginning_date",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"350",
                          "$type": "ModelMaker.DimensionedArrayValues, ModelMaker",
                          "Elements": {
                            "$type": "ModelMakerEngine.MMElements, ModelMakerEngine",
                            "$values": []
                          },
                          "Values": {
                            "$type": "System.Collections.Generic.List`1[[System.Object, mscorlib]], mscorlib",
                            "$values": [
                              45078.0,
                              0.0,
                              null,
                              null,
                              null,
                              null,
                              null,
                              null
                            ]
                          }
                        }
                      ]
                    },
                    "NonPrimaryInput": false,
                    "Max": "NaN",
                    "Min": "NaN",
                    "IsBalanceButNotCorkscrew": false,
                    "IsEditable": true,
                    "IsConstant": true,
                    "UniqueID": "0f83d14e-af51-4620-842f-d61363c4bceb",
                    "Dimensions": {
                      "$type": "ModelMakerEngine.MMDimensions, ModelMakerEngine",
                      "$values": []
                    },
                    "EquationOBXInternal": "{45078,0,,,,,,}",
                    "NameOfGroup": "Time.VAT return this period flag",
                    "EquationToParse": "{45078,0,,,,,,}",
                    "MostRecentExpectedUnitErrors": null,
                    "Units": {
                      "$id": "351",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"VAT return this period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"352",
                    "$type": "ModelMaker.VariableNode, ModelMaker",
                    "RowTotalDependent": null,
                    "PutCalculationOnReport": false,
                    "CalculateOnThisReport": null,
                    "PivotTableLink": null,
                    "ExcelNameName": "Percentage_of_expense_subject_to_VAT",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"353",
                          "$type": "ModelMaker.DimensionedArrayValues, ModelMaker",
                          "Elements": {
                            "$type": "ModelMakerEngine.MMElements, ModelMakerEngine",
                            "$values": []
                          },
                          "Values": {
                            "$type": "System.Collections.Generic.List`1[[System.Object, mscorlib]], mscorlib",
                            "$values": [
                              0.5,
                              0.0,
                              0.5,
                              0.5,
                              0.5,
                              0.5,
                              0.5,
                              null
                            ]
                          }
                        }
                      ]
                    },
                    "NonPrimaryInput": false,
                    "Max": "NaN",
                    "Min": "NaN",
                    "IsBalanceButNotCorkscrew": false,
                    "IsEditable": true,
                    "IsConstant": true,
                    "UniqueID": "0a00ed93-72a8-4485-b413-a4484e2720b4",
                    "Dimensions": {
                      "$type": "ModelMakerEngine.MMDimensions, ModelMakerEngine",
                      "$values": []
                    },
                    "EquationOBXInternal": "{0.5,0,0.5,0.5,0.5,0.5,0.5,}",
                    "NameOfGroup": "Inputs.VAT",
                    "EquationToParse": "{0.5,0,0.5,0.5,0.5,0.5,0.5,}",
                    "MostRecentExpectedUnitErrors": null,
                    "Units": {
                      "$id": "354",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"Percentage of expense subject to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"355",
                    "$type": "ModelMaker.VariableNode, ModelMaker",
                    "RowTotalDependent": null,
                    "PutCalculationOnReport": false,
                    "CalculateOnThisReport": null,
                    "PivotTableLink": null,
                    "ExcelNameName": "VAT_rate",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"356",
                          "$type": "ModelMaker.DimensionedArrayValues, ModelMaker",
                          "Elements": {
                            "$type": "ModelMakerEngine.MMElements, ModelMakerEngine",
                            "$values": []
                          },
                          "Values": {
                            "$type": "System.Collections.Generic.List`1[[System.Object, mscorlib]], mscorlib",
                            "$values": [
                              0.2,
                              0.0,
                              0.2,
                              0.2,
                              0.2,
                              0.2,
                              0.2,
                              null
                            ]
                          }
                        }
                      ]
                    },
                    "NonPrimaryInput": false,
                    "Max": "NaN",
                    "Min": "NaN",
                    "IsBalanceButNotCorkscrew": false,
                    "IsEditable": true,
                    "IsConstant": true,
                    "UniqueID": "b957b4c8-2845-477f-b45c-c1911abf5a48",
                    "Dimensions": {
                      "$type": "ModelMakerEngine.MMDimensions, ModelMakerEngine",
                      "$values": []
                    },
                    "EquationOBXInternal": "{0.2,0,0.2,0.2,0.2,0.2,0.2,}",
                    "NameOfGroup": "Inputs.VAT",
                    "EquationToParse": "{0.2,0,0.2,0.2,0.2,0.2,0.2,}",
                    "MostRecentExpectedUnitErrors": null,
                    "Units": {
                      "$id": "357",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"358",
                    "$type": "ModelMaker.VariableNode, ModelMaker",
                    "RowTotalDependent": null,
                    "PutCalculationOnReport": false,
                    "CalculateOnThisReport": null,
                    "PivotTableLink": null,
                    "ExcelNameName": "VAT_payment_delay_in_months",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"359",
                          "$type": "ModelMaker.DimensionedArrayValues, ModelMaker",
                          "Elements": {
                            "$type": "ModelMakerEngine.MMElements, ModelMakerEngine",
                            "$values": []
                          },
                          "Values": {
                            "$type": "System.Collections.Generic.List`1[[System.Object, mscorlib]], mscorlib",
                            "$values": [
                              1.0,
                              0.08,
                              1.0,
                              1.0,
                              1.0,
                              1.0,
                              1.0,
                              null
                            ]
                          }
                        }
                      ]
                    },
                    "NonPrimaryInput": false,
                    "Max": "NaN",
                    "Min": "NaN",
                    "IsBalanceButNotCorkscrew": false,
                    "IsEditable": true,
                    "IsConstant": true,
                    "UniqueID": "ceb7c29d-2d72-4a65-8a44-e1fdc5856828",
                    "Dimensions": {
                      "$type": "ModelMakerEngine.MMDimensions, ModelMakerEngine",
                      "$values": []
                    },
                    "EquationOBXInternal": "{1,0.08,1,1,1,1,1,}",
                    "NameOfGroup": "Inputs.VAT",
                    "EquationToParse": "{1,0.08,1,1,1,1,1,}",
                    "MostRecentExpectedUnitErrors": null,
                    "Units": {
                      "$id": "360",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payment delay in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"VAT",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"361",
              "$type": "ModelMaker.GroupNode, ModelMaker",
              "TabOrHeaderColour": "",
              "Comment": "",
              "NameOfGroup": "Inputs",
              "YPosition": 8,
              "Folded": true,
              "Font": null,
              "Children": {
                "$type": "ModelMaker.GroupNodeChildCollection, ModelMaker",
                "$values": [
                  {
                    "$id": "362",
                    "$type": "ModelMaker.VariableNode, ModelMaker",
                    "RowTotalDependent": null,
                    "PutCalculationOnReport": false,
                    "CalculateOnThisReport": null,
                    "PivotTableLink": null,
                    "ExcelNameName": "Corporation_tax_rate",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"363",
                          "$type": "ModelMaker.DimensionedArrayValues, ModelMaker",
                          "Elements": {
                            "$type": "ModelMakerEngine.MMElements, ModelMakerEngine",
                            "$values": []
                          },
                          "Values": {
                            "$type": "System.Collections.Generic.List`1[[System.Object, mscorlib]], mscorlib",
                            "$values": [
                              0.2,
                              null,
                              null,
                              null,
                              null,
                              null,
                              null,
                              null
                            ]
                          }
                        }
                      ]
                    },
                    "NonPrimaryInput": false,
                    "Max": "NaN",
                    "Min": "NaN",
                    "IsBalanceButNotCorkscrew": false,
                    "IsEditable": true,
                    "IsConstant": true,
                    "UniqueID": "079c76c8-7361-44a6-a7b5-19bb7516cc4f",
                    "Dimensions": {
                      "$type": "ModelMakerEngine.MMDimensions, ModelMakerEngine",
                      "$values": []
                    },
                    "EquationOBXInternal": "{0.2,,,,,,,}",
                    "NameOfGroup": "Corporation tax",
                    "EquationToParse": "{0.2,,,,,,,}",
                    "MostRecentExpectedUnitErrors": null,
                    "Units": {
                      "$id": "364",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"Corporation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"365",
                    "$type": "ModelMaker.VariableNode, ModelMaker",
                    "RowTotalDependent": null,
                    "PutCalculationOnReport": false,
                    "CalculateOnThisReport": null,
                    "PivotTableLink": null,
                    "ExcelNameName": "Tax_losses_carried_forward___initial_balance",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"366",
                          "$type": "ModelMaker.DimensionedArrayValues, ModelMaker",
                          "Elements": {
                            "$type": "ModelMakerEngine.MMElements, ModelMakerEngine",
                            "$values": []
                          },
                          "Values": {
                            "$type": "System.Collections.Generic.List`1[[System.Object, mscorlib]], mscorlib",
                            "$values": [
                              0.0,
                              0.0,
                              null,
                              null,
                              null,
                              null,
                              null,
                              null
                            ]
                          }
                        }
                      ]
                    },
                    "NonPrimaryInput": false,
                    "Max": "NaN",
                    "Min": "NaN",
                    "IsBalanceButNotCorkscrew": false,
                    "IsEditable": true,
                    "IsConstant": true,
                    "UniqueID": "192ca2f7-9cfc-4361-b623-3392b349a1a9",
                    "Dimensions": {
                      "$type": "ModelMakerEngine.MMDimensions, ModelMakerEngine",
                      "$values": []
                    },
                    "EquationOBXInternal": "{0,0,,,,,,}",
                    "NameOfGroup": "Corporation tax",
                    "EquationToParse": "{0,0,,,,,,}",
                    "MostRecentExpectedUnitErrors": null,
                    "Units": {
                      "$id": "367",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carried forward - initial balance",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"368",
                    "$type": "ModelMaker.VariableNode, ModelMaker",
                    "RowTotalDependent": null,
                    "PutCalculationOnReport": false,
                    "CalculateOnThisReport": null,
                    "PivotTableLink": null,
                    "ExcelNameName": "Month_corporation_tax_paid",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"369",
                          "$type": "ModelMaker.DimensionedArrayValues, ModelMaker",
                          "Elements": {
                            "$type": "ModelMakerEngine.MMElements, ModelMakerEngine",
                            "$values": []
                          },
                          "Values": {
                            "$type": "System.Collections.Generic.List`1[[System.Object, mscorlib]], mscorlib",
                            "$values": [
                              8.0,
                              0.0,
                              12.0,
                              12.0,
                              12.0,
                              12.0,
                              12.0,
                              null
                            ]
                          }
                        }
                      ]
                    },
                    "NonPrimaryInput": false,
                    "Max": "NaN",
                    "Min": "NaN",
                    "IsBalanceButNotCorkscrew": false,
                    "IsEditable": true,
                    "IsConstant": true,
                    "UniqueID": "47f2cec5-a8c1-47ca-bf38-cbb50e1f906d",
                    "Dimensions": {
                      "$type": "ModelMakerEngine.MMDimensions, ModelMakerEngine",
                      "$values": []
                    },
                    "EquationOBXInternal": "{8,0,12,12,12,12,12,}",
                    "NameOfGroup": "Corporation tax",
                    "EquationToParse": "{8,0,12,12,12,12,12,}",
                    "MostRecentExpectedUnitErrors": null,
                    "Units": {
                      "$id": "370",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 corporation tax paid",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"371",
                    "$type": "ModelMaker.VariableNode, ModelMaker",
                    "RowTotalDependent": null,
                    "PutCalculationOnReport": false,
                    "CalculateOnThisReport": null,
                    "PivotTableLink": null,
                    "ExcelNameName": "Opening_Corporation_tax_creditor",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"372",
                          "$type": "ModelMaker.DimensionedArrayValues, ModelMaker",
                          "Elements": {
                            "$type": "ModelMakerEngine.MMElements, ModelMakerEngine",
                            "$values": []
                          },
                          "Values": {
                            "$type": "System.Collections.Generic.List`1[[System.Object, mscorlib]], mscorlib",
                            "$values": [
                              0.0,
                              0.08,
                              0.0,
                              0.0,
                              0.0,
                              0.0,
                              0.0,
                              null
                            ]
                          }
                        }
                      ]
                    },
                    "NonPrimaryInput": false,
                    "Max": "NaN",
                    "Min": "NaN",
                    "IsBalanceButNotCorkscrew": false,
                    "IsEditable": true,
                    "IsConstant": true,
                    "UniqueID": "562b4967-2356-4145-b48c-aec2fc2dcd05",
                    "Dimensions": {
                      "$type": "ModelMakerEngine.MMDimensions, ModelMakerEngine",
                      "$values": []
                    },
                    "EquationOBXInternal": "{0,0.08,0,0,0,0,0,}",
                    "NameOfGroup": "Inputs.Corporation Tax",
                    "EquationToParse": "{0,0.08,0,0,0,0,0,}",
                    "MostRecentExpectedUnitErrors": null,
                    "Units": {
                      "$id": "373",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Corporation tax creditor",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"374",
              "$type": "ModelMaker.GroupNode, ModelMaker",
              "TabOrHeaderColour": "",
              "Comment": "",
              "NameOfGroup": "Inputs",
              "YPosition": 9,
              "Folded": true,
              "Font": null,
              "Children": {
                "$type": "ModelMaker.GroupNodeChildCollection, ModelMaker",
                "$values": [
                  {
                    "$ref": "56"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"375",
              "$type": "ModelMaker.GroupNode, ModelMaker",
              "TabOrHeaderColour": "",
              "Comment": "",
              "NameOfGroup": "Inputs",
              "YPosition": 10,
              "Folded": false,
              "Font": null,
              "Children": {
                "$type": "ModelMaker.GroupNodeChildCollection, ModelMaker",
                "$values": [
                  {
                    "$id": "376",
                    "$type": "ModelMaker.VariableNode, ModelMaker",
                    "RowTotalDependent": null,
                    "PutCalculationOnReport": false,
                    "CalculateOnThisReport": null,
                    "PivotTableLink": null,
                    "ExcelNameName": "STF_Units_delivered",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"377",
                          "$type": "ModelMaker.DimensionedArrayValues, ModelMaker",
                          "Elements": {
                            "$type": "ModelMakerEngine.MMElements, ModelMakerEngine",
                            "$values": []
                          },
                          "Values": {
                            "$type": "System.Collections.Generic.List`1[[System.Object, mscorlib]], mscorlib",
                            "$values": [
                              "",
                              "5000",
                              "",
                              "",
                              "",
                              "10000",
                              "",
                              "",
                              "",
                              "10000",
                              "",
                              "10000",
                              "",
                              "",
                              "",
                              "",
                              "",
                              "",
                              "",
                              "",
                              "",
                              "",
                              "",
                              "",
                              "",
                              "",
                              "",
                              "",
                              "",
                              "",
                              "",
                              "",
                              "",
                              "",
                              "",
                              "",
                              "",
                              "",
                              "",
                              "",
                              "",
                              "",
                              "",
                              "",
                              "",
                              "",
                              "",
                              "",
                              "",
                              "",
                              "",
                              "",
                              "",
                              "",
                              "",
                              "",
                              "",
                              "",
                              "",
                              "",
                              ""
                            ]
                          }
                        }
                      ]
                    },
                    "NonPrimaryInput": false,
                    "Max": "NaN",
                    "Min": "NaN",
                    "IsBalanceButNotCorkscrew": false,
                    "IsEditable": true,
                    "IsConstant": false,
                    "UniqueID": "fe2f39ba-f145-4e4d-994f-f35db1f0fa9f",
                    "Dimensions": {
                      "$type": "ModelMakerEngine.MMDimensions, ModelMakerEngine",
                      "$values": []
                    },
                    "EquationOBXInternal": "{,5000,,,,10000,,,,10000,,10000,,,,,,,,,,,,,,,,,,,,,,,,,,,,,,,,,,,,,,,,,,,,,,,,,}",
                    "NameOfGroup": "Inputs.Short term forecast",
                    "EquationToParse": "{,5000,,,,10000,,,,10000,,10000,,,,,,,,,,,,,,,,,,,,,,,,,,,,,,,,,,,,,,,,,,,,,,,,,}",
                    "MostRecentExpectedUnitErrors": null,
                    "Units": {
                      "$ref": "2"
                    },
                    "Name": "STF Units delivered",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"378",
                    "$type": "ModelMaker.VariableNode, ModelMaker",
                    "RowTotalDependent": null,
                    "PutCalculationOnReport": false,
                    "CalculateOnThisReport": null,
                    "PivotTableLink": null,
                    "ExcelNameName": "STF_Units_ordered",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"379",
                          "$type": "ModelMaker.DimensionedArrayValues, ModelMaker",
                          "Elements": {
                            "$type": "ModelMakerEngine.MMElements, ModelMakerEngine",
                            "$values": []
                          },
                          "Values": {
                            "$type": "System.Collections.Generic.List`1[[System.Object, mscorlib]], mscorlib",
                            "$values": [
                              "",
                              "",
                              "10000",
                              "10000",
                              "10000",
                              "",
                              "10000",
                              "",
                              "10000",
                              "",
                              "",
                              "",
                              "",
                              "",
                              "",
                              "",
                              "",
                              "",
                              "",
                              "",
                              "",
                              "",
                              "",
                              "",
                              "",
                              "",
                              "",
                              "",
                              "",
                              "",
                              "",
                              "",
                              "",
                              "",
                              "",
                              "",
                              "",
                              "",
                              "",
                              "",
                              "",
                              "",
                              "",
                              "",
                              "",
                              "",
                              "",
                              "",
                              "",
                              "",
                              "",
                              "",
                              "",
                              "",
                              "",
                              "",
                              "",
                              "",
                              "",
                              "",
                              ""
                            ]
                          }
                        }
                      ]
                    },
                    "NonPrimaryInput": false,
                    "Max": "NaN",
                    "Min": "NaN",
                    "IsBalanceButNotCorkscrew": false,
                    "IsEditable": true,
                    "IsConstant": false,
                    "UniqueID": "1157fe78-0a9d-4544-a645-bf088d32e7c0",
                    "Dimensions": {
                      "$type": "ModelMakerEngine.MMDimensions, ModelMakerEngine",
                      "$values": []
                    },
                    "EquationOBXInternal": "{,,10000,10000,10000,,10000,,10000,,,,,,,,,,,,,,,,,,,,,,,,,,,,,,,,,,,,,,,,,,,,,,,,,,,,}",
                    "NameOfGroup": "Inputs.Short term forecast",
                    "EquationToParse": "{,,10000,10000,10000,,10000,,10000,,,,,,,,,,,,,,,,,,,,,,,,,,,,,,,,,,,,,,,,,,,,,,,,,,,,}",
                    "MostRecentExpectedUnitErrors": null,
                    "Units": {
                      "$ref": "2"
                    },
                    "Name": "STF Units ordered",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"380",
                    "$type": "ModelMaker.VariableNode, ModelMaker",
                    "RowTotalDependent": null,
                    "PutCalculationOnReport": false,
                    "CalculateOnThisReport": null,
                    "PivotTableLink": null,
                    "ExcelNameName": "STF_New_Customer_orders",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"381",
                          "$type": "ModelMaker.DimensionedArrayValues, ModelMaker",
                          "Elements": {
                            "$type": "ModelMakerEngine.MMElements, ModelMakerEngine",
                            "$values": []
                          },
                          "Values": {
                            "$type": "System.Collections.Generic.List`1[[System.Object, mscorlib]], mscorlib",
                            "$values": [
                              "1000",
                              "1000",
                              "1000",
                              "1000",
                              "3000",
                              "3000",
                              "3000",
                              "5000",
                              "5000",
                              "5000",
                              "5000",
                              "5000",
                              "",
                              "",
                              "",
                              "",
                              "",
                              "",
                              "",
                              "",
                              "",
                              "",
                              "",
                              "",
                              "",
                              "",
                              "",
                              "",
                              "",
                              "",
                              "",
                              "",
                              "",
                              "",
                              "",
                              "",
                              "",
                              "",
                              "",
                              "",
                              "",
                              "",
                              "",
                              "",
                              "",
                              "",
                              "",
                              "",
                              "",
                              "",
                              "",
                              "",
                              "",
                              "",
                              "",
                              "",
                              "",
                              "",
                              "",
                              "",
                              ""
                            ]
                          }
                        }
                      ]
                    },
                    "NonPrimaryInput": false,
                    "Max": "NaN",
                    "Min": "NaN",
                    "IsBalanceButNotCorkscrew": false,
                    "IsEditable": true,
                    "IsConstant": false,
                    "UniqueID": "829902b7-4f90-4028-8d0c-2709484aa33b",
                    "Dimensions": {
                      "$type": "ModelMakerEngine.MMDimensions, ModelMakerEngine",
                      "$values": []
                    },
                    "EquationOBXInternal": "{1000,1000,1000,1000,3000,3000,3000,5000,5000,5000,5000,5000,,,,,,,,,,,,,,,,,,,,,,,,,,,,,,,,,,,,,,,,,,,,,,,,,}",
                    "NameOfGroup": "Inputs.Short term forecast",
                    "EquationToParse": "{1000,1000,1000,1000,3000,3000,3000,5000,5000,5000,5000,5000,,,,,,,,,,,,,,,,,,,,,,,,,,,,,,,,,,,,,,,,,,,,,,,,,}",
                    "MostRecentExpectedUnitErrors": null,
                    "Units": {
                      "$ref": "2"
                    },
                    "Name": "STF New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"382",
                    "$type": "ModelMaker.VariableNode, ModelMaker",
                    "RowTotalDependent": null,
                    "PutCalculationOnReport": false,
                    "CalculateOnThisReport": null,
                    "PivotTableLink": null,
                    "ExcelNameName": "Use_short_term_forecast_flag_end_date",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"383",
                          "$type": "ModelMaker.DimensionedArrayValues, ModelMaker",
                          "Elements": {
                            "$type": "ModelMakerEngine.MMElements, ModelMakerEngine",
                            "$values": []
                          },
                          "Values": {
                            "$type": "System.Collections.Generic.List`1[[System.Object, mscorlib]], mscorlib",
                            "$values": [
                              45413.0,
                              0.0,
                              null,
                              null,
                              null,
                              null,
                              null,
                              null
                            ]
                          }
                        }
                      ]
                    },
                    "NonPrimaryInput": false,
                    "Max": "NaN",
                    "Min": "NaN",
                    "IsBalanceButNotCorkscrew": false,
                    "IsEditable": true,
                    "IsConstant": true,
                    "UniqueID": "b83b5d37-2a88-4b2d-b3af-0a970a80dfc7",
                    "Dimensions": {
                      "$type": "ModelMakerEngine.MMDimensions, ModelMakerEngine",
                      "$values": []
                    },
                    "EquationOBXInternal": "{45413,0,,,,,,}",
                    "NameOfGroup": "Inputs.Short term forecast",
                    "EquationToParse": "{45413,0,,,,,,}",
                    "MostRecentExpectedUnitErrors": null,
                    "Units": {
                      "$id": "384",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"Use short term forecast flag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"Short term forecast",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"385",
              "$type": "ModelMaker.VariableNode, ModelMaker",
              "RowTotalDependent": null,
              "PutCalculationOnReport": false,
              "CalculateOnThisReport": null,
              "PivotTableLink": null,
              "ExcelNameName": "Active_scenario",
              "ExcelNameNames": {
                "$type": "ModelMakerEngine.ExcelNameDictionary, ModelMakerEngine",
                "$values": []
              },
              "NumberFormatOverride": null,
              "HasOpeningBalanceFlag": false,
              "OpeningBalanceFlagAppliedName": "",
              "Deletable": true,
              "Comment": "",
              "HasSwitchSignLine": false,
              "SwitchSignForReport": false,
              "MultipleInputValues": {
                "$type": "System.Collections.Generic.List`1[[ModelMaker.DimensionedArrayValues, ModelMaker]], mscorlib",
                "$values": [
                  {
                    "$id": "386",
                    "$type": "ModelMaker.DimensionedArrayValues, ModelMaker",
                    "Elements": {
                      "$type": "ModelMakerEngine.MMElements, ModelMakerEngine",
                      "$values": []
                    },
                    "Values": {
                      "$type": "System.Collections.Generic.List`1[[System.Object, mscorlib]], mscorlib",
                      "$values": [
                        1.0,
                        2.0,
                        3.0,
                        4.0,
                        5.0,
                        6.0,
                        7.0,
                        null
                      ]
                    }
                  }
                ]
              },
              "NonPrimaryInput": false,
              "Max": "NaN",
              "Min": "NaN",
              "IsBalanceButNotCorkscrew": false,
              "IsEditable": true,
              "IsConstant": true,
              "UniqueID": "4363627a-9131-47fe-9845-dee6b6b5aaaa",
              "Dimensions": {
                "$type": "ModelMakerEngine.MMDimensions, ModelMakerEngine",
                "$values": []
              },
              "EquationOBXInternal": "{1,2,3,4,5,6,7,}",
              "NameOfGroup": "Inputs",
              "EquationToParse": "{1,2,3,4,5,6,7,}",
              "MostRecentExpectedUnitErrors": null,
              "Units": {
                "$ref": "2"
              },
              "Name": "Active scenario",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true,
        "IsFlag": false,
        "IsTimeAndFlagsGroup": false,
        "DimensionsAcross": {
          "$type": "ModelMakerEngine.MMDimensions, ModelMakerEngine",
          "$values": []
        },
        "TimeAxis": 0,
        "IndexInParent": 1,
        "Name": "Inputs",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"387",
        "$type": "ModelMaker.GroupNode, ModelMaker",
        "TabOrHeaderColour": "",
        "Comment": "",
        "NameOfGroup": null,
        "YPosition": 0,
        "Folded": false,
        "Font": null,
        "Children": {
          "$type": "ModelMaker.GroupNodeChildCollection, ModelMaker",
          "$values": [
            {
              "$id": "388",
              "$type": "ModelMaker.VariableNode, ModelMaker",
              "RowTotalDependent": null,
              "PutCalculationOnReport": false,
              "CalculateOnThisReport": null,
              "PivotTableLink": null,
              "ExcelNameName": "Model_period_start",
              "ExcelNameNames": {
                "$type": "ModelMakerEngine.ExcelNameDictionary, ModelMakerEngine",
                "$values": []
              },
              "NumberFormatOverride": null,
              "HasOpeningBalanceFlag": false,
              "OpeningBalanceFlagAppliedName": "",
              "Deletable": false,
              "Comment": "",
              "HasSwitchSignLine": false,
              "SwitchSignForReport": false,
              "MultipleInputValues": null,
              "NonPrimaryInput": false,
              "Max": "NaN",
              "Min": "NaN",
              "IsBalanceButNotCorkscrew": false,
              "IsEditable": true,
              "IsConstant": false,
              "UniqueID": "36f3dd1a-cbd8-4e49-b7c9-b3c1afa04546",
              "Dimensions": {
                "$type": "ModelMakerEngine.MMDimensions, ModelMakerEngine",
                "$values": []
              },
              "EquationOBXInternal": "IF([Period number] = 1,[Start date],EDATE(PREVIOUSVALUE(), [Months per period]))",
              "NameOfGroup": "Time",
              "EquationToParse": "IF([Period number] = 1,[Start date],EDATE(PREVIOUSVALUE(), [Months per period]))",
              "MostRecentExpectedUnitErrors": null,
              "Units": {
                "$id": "389",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start",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9,
              "IsStandardNode": true,
              "WarnMessage":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"390",
              "$type": "ModelMaker.GroupNode, ModelMaker",
              "TabOrHeaderColour": "",
              "Comment": "",
              "NameOfGroup": "Time",
              "YPosition": 1,
              "Folded": true,
              "Font": null,
              "Children": {
                "$type": "ModelMaker.GroupNodeChildCollection, ModelMaker",
                "$values": [
                  {
                    "$id": "391",
                    "$type": "ModelMaker.VariableNode, ModelMaker",
                    "RowTotalDependent": null,
                    "PutCalculationOnReport": false,
                    "CalculateOnThisReport": null,
                    "PivotTableLink": null,
                    "ExcelNameName": "Model_period_end",
                    "ExcelNameNames": {
                      "$type": "ModelMakerEngine.ExcelNameDictionary, ModelMakerEngine",
                      "$values": []
                    },
                    "NumberFormatOverride": null,
                    "HasOpeningBalanceFlag": false,
                    "OpeningBalanceFlagAppliedName": "",
                    "Deletable": false,
                    "Comment": "",
                    "HasSwitchSignLine": false,
                    "SwitchSignForReport": false,
                    "MultipleInputValues": null,
                    "NonPrimaryInput": false,
                    "Max": "NaN",
                    "Min": "NaN",
                    "IsBalanceButNotCorkscrew": false,
                    "IsEditable": true,
                    "IsConstant": false,
                    "UniqueID": "ed259022-836d-4a23-b260-61be660388bc",
                    "Dimensions": {
                      "$type": "ModelMakerEngine.MMDimensions, ModelMakerEngine",
                      "$values": []
                    },
                    "EquationOBXInternal": "EDATE([Model period start], [Months per period]) - 1",
                    "NameOfGroup": "Time.Headers",
                    "EquationToParse": "EDATE([Model period start], [Months per period]) - 1",
                    "MostRecentExpectedUnitErrors": null,
                    "Units": {
                      "$id": "392",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end",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10,
                    "IsStandardNode": true,
                    "WarnMessage":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"add9f448-ba02-4167-a3e0-e0c5410da5c7",
                    "Dimensions": {
                      "$type": "ModelMakerEngine.MMDimensions, ModelMakerEngine",
                      "$values": []
                    },
                    "EquationOBXInternal": "\"Month\" & [Period number]",
                    "NameOfGroup": "Time.Headers",
                    "EquationToParse": "\"Month\" & [Period number]",
                    "MostRecentExpectedUnitErrors": null,
                    "Units": {
                      "$ref": "2"
                    },
                    "Name": "Timeline label",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"394",
                    "$type": "ModelMaker.VariableNode, ModelMaker",
                    "RowTotalDependent": null,
                    "PutCalculationOnReport": false,
                    "CalculateOnThisReport": null,
                    "PivotTableLink": null,
                    "ExcelNameName": "Contract_year",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"39b45ec8-6b8b-4a19-9ac0-201a668b9adf",
                    "Dimensions": {
                      "$type": "ModelMakerEngine.MMDimensions, ModelMakerEngine",
                      "$values": []
                    },
                    "EquationOBXInternal": null,
                    "NameOfGroup": "Time.Headers",
                    "EquationToParse": "",
                    "MostRecentExpectedUnitErrors": null,
                    "Units": {
                      "$id": "395",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"Contract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"396",
                    "$type": "ModelMaker.VariableNode, ModelMaker",
                    "RowTotalDependent": null,
                    "PutCalculationOnReport": false,
                    "CalculateOnThisReport": null,
                    "PivotTableLink": null,
                    "ExcelNameName": "Period_number",
                    "ExcelNameNames": {
                      "$type": "ModelMakerEngine.ExcelNameDictionary, ModelMakerEngine",
                      "$values": []
                    },
                    "NumberFormatOverride": null,
                    "HasOpeningBalanceFlag": false,
                    "OpeningBalanceFlagAppliedName": "",
                    "Deletable": false,
                    "Comment": "",
                    "HasSwitchSignLine": false,
                    "SwitchSignForReport": false,
                    "MultipleInputValues": null,
                    "NonPrimaryInput": false,
                    "Max": "NaN",
                    "Min": "NaN",
                    "IsBalanceButNotCorkscrew": false,
                    "IsEditable": true,
                    "IsConstant": false,
                    "UniqueID": "e2d04a06-ac1e-430d-91f1-ed0857ec29a9",
                    "Dimensions": {
                      "$type": "ModelMakerEngine.MMDimensions, ModelMakerEngine",
                      "$values": []
                    },
                    "EquationOBXInternal": "PREVIOUSVALUE()+1",
                    "NameOfGroup": "Time.Headers",
                    "EquationToParse": "PREVIOUSVALUE()+1",
                    "MostRecentExpectedUnitErrors": null,
                    "Units": {
                      "$id": "397",
                      "$type": "ModelMaker.Unit, ModelMaker",
                      "NumberFormatOverride": null,
                      "MatchAnything": false,
                      "ExternalRepresentation": "Counter",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8,
                    "IsStandardNode": true,
                    "WarnMessage":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"Headers",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"398",
              "$type": "ModelMaker.GroupNode, ModelMaker",
              "TabOrHeaderColour": "",
              "Comment": "",
              "NameOfGroup": "Time",
              "YPosition": 2,
              "Folded": false,
              "Font": null,
              "Children": {
                "$type": "ModelMaker.GroupNodeChildCollection, ModelMaker",
                "$values": [
                  {
                    "$id": "399",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"695ae336-fd5d-44a2-beac-660dc77ede5a",
                    "Dimensions": {
                      "$type": "ModelMakerEngine.MMDimensions, ModelMakerEngine",
                      "$values": []
                    },
                    "EquationOBXInternal": "IF([Start date]<[Model period end],1,0)",
                    "NameOfGroup": "Time.Customer Order Growth index",
                    "EquationToParse": "IF([Start date]<[Model period end],1,0)",
                    "MostRecentExpectedUnitErrors": null,
                    "Units": {
                      "$id": "40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1",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b4cad825-e4d6-4140-adee-e138be99f0dc",
                    "Dimensions": {
                      "$type": "ModelMakerEngine.MMDimensions, ModelMakerEngine",
                      "$values": []
                    },
                    "EquationOBXInternal": "IF(AND([Model period end]>=[Start date],[Model period start]<=[Start date]),1,0)",
                    "NameOfGroup": "Time.Customer Order Growth index",
                    "EquationToParse": "IF(AND([Model period end]>=[Start date],[Model period start]<=[Start date]),1,0)",
                    "MostRecentExpectedUnitErrors": null,
                    "Units": {
                      "$id": "402",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25c3489-70a7-438c-b782-a725a295b729",
                    "Dimensions": {
                      "$type": "ModelMakerEngine.MMDimensions, ModelMakerEngine",
                      "$values": []
                    },
                    "EquationOBXInternal": "[Period number]*[First Customer Order Growth escalation flag]",
                    "NameOfGroup": "Time.Customer Order Growth index",
                    "EquationToParse": "[Period number]*[First Customer Order Growth escalation flag]",
                    "MostRecentExpectedUnitErrors": null,
                    "Units": {
                      "$id": "40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5",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6f1f4ab6-63f0-42a1-b09c-382a6bff6507",
                    "Dimensions": {
                      "$type": "ModelMakerEngine.MMDimensions, ModelMakerEngine",
                      "$values": []
                    },
                    "EquationOBXInternal": "SUM(ALLVALUES([First Customer Order Growth escalation period]))",
                    "NameOfGroup": "Time.Customer Order Growth index",
                    "EquationToParse": "SUM(ALLVALUES([First Customer Order Growth escalation period]))",
                    "MostRecentExpectedUnitErrors": null,
                    "Units": {
                      "$id": "40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Customer Order Growth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7",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a9fc311-1020-42e0-b628-0fb9c898a944",
                    "Dimensions": {
                      "$type": "ModelMakerEngine.MMDimensions, ModelMakerEngine",
                      "$values": []
                    },
                    "EquationOBXInternal": "IF(MOD([Period number]-[Period of first Customer Order Growth escalation],[Customer Order Growth escalation frequency]/[Months per period])=0,1,0)*[Customer Order Growth escalation duration flag]",
                    "NameOfGroup": "Time.Customer Order Growth index",
                    "EquationToParse": "IF(MOD([Period number]-[Period of first Customer Order Growth escalation],[Customer Order Growth escalation frequency]/[Months per period])=0,1,0)*[Customer Order Growth escalation duration flag]",
                    "MostRecentExpectedUnitErrors": null,
                    "Units": {
                      "$id": "40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a2eda9c1-15e8-4b42-b7ed-88d8b85aa38a",
                    "Dimensions": {
                      "$type": "ModelMakerEngine.MMDimensions, ModelMakerEngine",
                      "$values": []
                    },
                    "EquationOBXInternal": "DATE(YEAR([Model period end]),MONTH([Model period end]),DAY([Start date]))*[Customer Order Growth escalation step up frequency flag]",
                    "NameOfGroup": "Time.Customer Order Growth index",
                    "EquationToParse": "DATE(YEAR([Model period end]),MONTH([Model period end]),DAY([Start date]))*[Customer Order Growth escalation step up frequency flag]",
                    "MostRecentExpectedUnitErrors": null,
                    "Units": {
                      "$id": "41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Customer Order Growth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1",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d63d573-43fd-40b3-97af-b7c0beb1f700",
                    "Dimensions": {
                      "$type": "ModelMakerEngine.MMDimensions, ModelMakerEngine",
                      "$values": []
                    },
                    "EquationOBXInternal": "YEARFRAC([Start date],[Day in period Customer Order Growth escalation occurs],1)*[Customer Order Growth escalation step up frequency flag]",
                    "NameOfGroup": "Time.Customer Order Growth index",
                    "EquationToParse": "YEARFRAC([Start date],[Day in period Customer Order Growth escalation occurs],1)*[Customer Order Growth escalation step up frequency flag]",
                    "MostRecentExpectedUnitErrors": null,
                    "Units": {
                      "$id": "41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Customer Order Growth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44570da6-3ca3-4906-a91b-d3321a2ab74d",
                    "Dimensions": {
                      "$type": "ModelMakerEngine.MMDimensions, ModelMakerEngine",
                      "$values": []
                    },
                    "EquationOBXInternal": "IF([Customer Order Growth escalation duration flag]=0,1,IF([Customer Order Growth escalation step up frequency flag]=1,(1+[Customer Order Growth annual start escalation rate])^[years since Customer Order Growth base date],PREVIOUSVALUE()))",
                    "NameOfGroup": "Time.Customer Order Growth index",
                    "EquationToParse": "IF([Customer Order Growth escalation duration flag]=0,1,IF([Customer Order Growth escalation step up frequency flag]=1,(1+[Customer Order Growth annual start escalation rate])^[years since Customer Order Growth base date],PREVIOUSVALUE()))",
                    "MostRecentExpectedUnitErrors": null,
                    "Units": {
                      "$id": "414",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5",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bcf28739-eb41-434b-86d9-99b9e7425a60",
                    "Dimensions": {
                      "$type": "ModelMakerEngine.MMDimensions, ModelMakerEngine",
                      "$values": []
                    },
                    "EquationOBXInternal": "  (1 + [Customer Order Growth annual start escalation rate])^(1/[Months in year] )-1",
                    "NameOfGroup": "Time.Customer Order Growth index",
                    "EquationToParse": "  (1 + [Customer Order Growth annual start escalation rate])^(1/[Months in year] )-1",
                    "MostRecentExpectedUnitErrors": null,
                    "Units": {
                      "$id": "41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Monthly Growth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Customer Order Growth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17",
              "$type": "ModelMaker.GroupNode, ModelMaker",
              "TabOrHeaderColour": "",
              "Comment": "",
              "NameOfGroup": "Time",
              "YPosition": 3,
              "Folded": true,
              "Font": null,
              "Children": {
                "$type": "ModelMaker.GroupNodeChildCollection, ModelMaker",
                "$values": [
                  {
                    "$id": "41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1d8a7d5-dd5c-4837-897b-ac2791df47fb",
                    "Dimensions": {
                      "$type": "ModelMakerEngine.MMDimensions, ModelMakerEngine",
                      "$values": []
                    },
                    "EquationOBXInternal": "IF([Start date]<[Model period end],1,0)",
                    "NameOfGroup": "Time.Fixed Operating Cost Growth Rate index",
                    "EquationToParse": "IF([Start date]<[Model period end],1,0)",
                    "MostRecentExpectedUnitErrors": null,
                    "Units": {
                      "$id": "41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f3bf970-1030-43f0-b174-7dfa25eb72f9",
                    "Dimensions": {
                      "$type": "ModelMakerEngine.MMDimensions, ModelMakerEngine",
                      "$values": []
                    },
                    "EquationOBXInternal": "IF(AND([Model period end]>=[Start date],[Model period start]<=[Start date]),1,0)",
                    "NameOfGroup": "Time.Fixed Operating Cost Growth Rate index",
                    "EquationToParse": "IF(AND([Model period end]>=[Start date],[Model period start]<=[Start date]),1,0)",
                    "MostRecentExpectedUnitErrors": null,
                    "Units": {
                      "$id": "42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7b37a25-6801-41f2-afcb-53de07f2f16a",
                    "Dimensions": {
                      "$type": "ModelMakerEngine.MMDimensions, ModelMakerEngine",
                      "$values": []
                    },
                    "EquationOBXInternal": "[Period number]*[First Fixed Operating Cost Growth Rate escalation flag]",
                    "NameOfGroup": "Time.Fixed Operating Cost Growth Rate index",
                    "EquationToParse": "[Period number]*[First Fixed Operating Cost Growth Rate escalation flag]",
                    "MostRecentExpectedUnitErrors": null,
                    "Units": {
                      "$id": "42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6cefe4f-da18-4b09-987e-4baef66b1a7b",
                    "Dimensions": {
                      "$type": "ModelMakerEngine.MMDimensions, ModelMakerEngine",
                      "$values": []
                    },
                    "EquationOBXInternal": "SUM(ALLVALUES([First Fixed Operating Cost Growth Rate escalation period]))",
                    "NameOfGroup": "Time.Fixed Operating Cost Growth Rate index",
                    "EquationToParse": "SUM(ALLVALUES([First Fixed Operating Cost Growth Rate escalation period]))",
                    "MostRecentExpectedUnitErrors": null,
                    "Units": {
                      "$id": "42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Fixed Operating Cost Growth Rate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915da8ac-b229-4ba1-a9f5-43f3833755fd",
                    "Dimensions": {
                      "$type": "ModelMakerEngine.MMDimensions, ModelMakerEngine",
                      "$values": []
                    },
                    "EquationOBXInternal": "IF(MOD([Period number]-[Period of first Fixed Operating Cost Growth Rate escalation],[Fixed Operating Cost Growth Rate escalation frequency]/[Months per period])=0,1,0)*[Fixed Operating Cost Growth Rate escalation duration flag]",
                    "NameOfGroup": "Time.Fixed Operating Cost Growth Rate index",
                    "EquationToParse": "IF(MOD([Period number]-[Period of first Fixed Operating Cost Growth Rate escalation],[Fixed Operating Cost Growth Rate escalation frequency]/[Months per period])=0,1,0)*[Fixed Operating Cost Growth Rate escalation duration flag]",
                    "MostRecentExpectedUnitErrors": null,
                    "Units": {
                      "$id": "42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5b886b70-bdc2-45c3-bff3-029f4b0cff32",
                    "Dimensions": {
                      "$type": "ModelMakerEngine.MMDimensions, ModelMakerEngine",
                      "$values": []
                    },
                    "EquationOBXInternal": "DATE(YEAR([Model period end]),MONTH([Model period end]),DAY([Start date]))*[Fixed Operating Cost Growth Rate escalation step up frequency flag]",
                    "NameOfGroup": "Time.Fixed Operating Cost Growth Rate index",
                    "EquationToParse": "DATE(YEAR([Model period end]),MONTH([Model period end]),DAY([Start date]))*[Fixed Operating Cost Growth Rate escalation step up frequency flag]",
                    "MostRecentExpectedUnitErrors": null,
                    "Units": {
                      "$id": "429",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Fixed Operating Cost Growth Rate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c198012-8137-4073-9071-366596148845",
                    "Dimensions": {
                      "$type": "ModelMakerEngine.MMDimensions, ModelMakerEngine",
                      "$values": []
                    },
                    "EquationOBXInternal": "YEARFRAC([Start date],[Day in period Fixed Operating Cost Growth Rate escalation occurs],1)*[Fixed Operating Cost Growth Rate escalation step up frequency flag]",
                    "NameOfGroup": "Time.Fixed Operating Cost Growth Rate index",
                    "EquationToParse": "YEARFRAC([Start date],[Day in period Fixed Operating Cost Growth Rate escalation occurs],1)*[Fixed Operating Cost Growth Rate escalation step up frequency flag]",
                    "MostRecentExpectedUnitErrors": null,
                    "Units": {
                      "$id": "43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Fixed Operating Cost Growth Rate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5e86534-4e52-4b0f-8026-076a10572f54",
                    "Dimensions": {
                      "$type": "ModelMakerEngine.MMDimensions, ModelMakerEngine",
                      "$values": []
                    },
                    "EquationOBXInternal": "IF([Fixed Operating Cost Growth Rate escalation duration flag]=0,1,IF([Fixed Operating Cost Growth Rate escalation step up frequency flag]=1,(1+[Fixed Operating Cost Growth Rate annual start escalation rate])^[years since Fixed Operating Cost Growth Rate base date],PREVIOUSVALUE()))",
                    "NameOfGroup": "Time.Fixed Operating Cost Growth Rate index",
                    "EquationToParse": "IF([Fixed Operating Cost Growth Rate escalation duration flag]=0,1,IF([Fixed Operating Cost Growth Rate escalation step up frequency flag]=1,(1+[Fixed Operating Cost Growth Rate annual start escalation rate])^[years since Fixed Operating Cost Growth Rate base date],PREVIOUSVALUE()))",
                    "MostRecentExpectedUnitErrors": null,
                    "Units": {
                      "$id": "433",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Fixed Operating Cost Growth Rate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34",
              "$type": "ModelMaker.GroupNode, ModelMaker",
              "TabOrHeaderColour": "",
              "Comment": "",
              "NameOfGroup": "Time",
              "YPosition": 4,
              "Folded": true,
              "Font": null,
              "Children": {
                "$type": "ModelMaker.GroupNodeChildCollection, ModelMaker",
                "$values": [
                  {
                    "$id": "435",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b7c8d0c-5fde-42d4-b5f7-2635ab2fac3b",
                    "Dimensions": {
                      "$type": "ModelMakerEngine.MMDimensions, ModelMakerEngine",
                      "$values": []
                    },
                    "EquationOBXInternal": "IF(AND([Model period end]>=[Supply Chain Finance enabled beginning date],[Model period start]<=[Supply Chain Finance enabled end date]),1,0)",
                    "NameOfGroup": "Time.Trade finance enabled flag",
                    "EquationToParse": "IF(AND([Model period end]>=[Supply Chain Finance enabled beginning date],[Model period start]<=[Supply Chain Finance enabled end date]),1,0)",
                    "MostRecentExpectedUnitErrors": null,
                    "Units": {
                      "$id": "43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Supply Chain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7",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8f17b9b-2dae-4154-950a-7b2aecb9b730",
                    "Dimensions": {
                      "$type": "ModelMakerEngine.MMDimensions, ModelMakerEngine",
                      "$values": []
                    },
                    "EquationOBXInternal": "IF(AND([Model period end]>=[Invoice Finance Enabled beginning date],[Model period start]<=[Invoice Finance Enabled end date]),1,0)",
                    "NameOfGroup": "Time.Invoice Finance Enabled flag",
                    "EquationToParse": "IF(AND([Model period end]>=[Invoice Finance Enabled beginning date],[Model period start]<=[Invoice Finance Enabled end date]),1,0)",
                    "MostRecentExpectedUnitErrors": null,
                    "Units": {
                      "$id": "43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Invoice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0e6a57c7-535d-4f45-8dc9-78230436ac74",
                    "Dimensions": {
                      "$type": "ModelMakerEngine.MMDimensions, ModelMakerEngine",
                      "$values": []
                    },
                    "EquationOBXInternal": "IF(AND([Model period end]>=[Asset Finance Enabled beginning date],[Model period start]<=[Asset Finance Enabled end date]),1,0)",
                    "NameOfGroup": "Time.Debts flags",
                    "EquationToParse": "IF(AND([Model period end]>=[Asset Finance Enabled beginning date],[Model period start]<=[Asset Finance Enabled end date]),1,0)",
                    "MostRecentExpectedUnitErrors": null,
                    "Units": {
                      "$id": "44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Asset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Debts flag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41",
              "$type": "ModelMaker.GroupNode, ModelMaker",
              "TabOrHeaderColour": "",
              "Comment": "",
              "NameOfGroup": "Time",
              "YPosition": 5,
              "Folded": true,
              "Font": null,
              "Children": {
                "$type": "ModelMaker.GroupNodeChildCollection, ModelMaker",
                "$values": [
                  {
                    "$id": "44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936d62b1-1caf-43a3-b792-e5be96d96a89",
                    "Dimensions": {
                      "$type": "ModelMakerEngine.MMDimensions, ModelMakerEngine",
                      "$values": []
                    },
                    "EquationOBXInternal": "IF(AND([Period number]>=[VAT return this period first period number constant],MOD([Period number],[VAT return this period every x periods])=[VAT return this period mod of period number]),1,0)",
                    "NameOfGroup": "Time.VAT return this period flag",
                    "EquationToParse": "IF(AND([Period number]>=[VAT return this period first period number constant],MOD([Period number],[VAT return this period every x periods])=[VAT return this period mod of period number]),1,0)",
                    "MostRecentExpectedUnitErrors": null,
                    "Units": {
                      "$id": "443",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"82f2a567-7b46-46ae-85ae-e923b0c6e345",
                    "Dimensions": {
                      "$type": "ModelMakerEngine.MMDimensions, ModelMakerEngine",
                      "$values": []
                    },
                    "EquationOBXInternal": "MOD([VAT return this period first period number constant],[VAT return this period every x periods])",
                    "NameOfGroup": "Time.VAT return this period flag",
                    "EquationToParse": "MOD([VAT return this period first period number constant],[VAT return this period every x periods])",
                    "MostRecentExpectedUnitErrors": null,
                    "Units": {
                      "$id": "445",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mod of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"fd37b415-19a9-4b68-a137-47d576767751",
                    "Dimensions": {
                      "$type": "ModelMakerEngine.MMDimensions, ModelMakerEngine",
                      "$values": []
                    },
                    "EquationOBXInternal": "SUM(ALLVALUES([VAT return this period first period number]))",
                    "NameOfGroup": "Time.VAT return this period flag",
                    "EquationToParse": "SUM(ALLVALUES([VAT return this period first period number]))",
                    "MostRecentExpectedUnitErrors": null,
                    "Units": {
                      "$id": "447",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constant",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"2b3bf503-b63f-4978-bc6a-b6c53318f299",
                    "Dimensions": {
                      "$type": "ModelMakerEngine.MMDimensions, ModelMakerEngine",
                      "$values": []
                    },
                    "EquationOBXInternal": "[Period number]*[VAT return this period first period flag]",
                    "NameOfGroup": "Time.VAT return this period flag",
                    "EquationToParse": "[Period number]*[VAT return this period first period flag]",
                    "MostRecentExpectedUnitErrors": null,
                    "Units": {
                      "$id": "449",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"c2df5984-18f6-459a-87d5-93a2a91539a3",
                    "Dimensions": {
                      "$type": "ModelMakerEngine.MMDimensions, ModelMakerEngine",
                      "$values": []
                    },
                    "EquationOBXInternal": "IF(AND([Model period end]>=[VAT return this period beginning date],[Model period start]<=[VAT return this period beginning date]),1,0)",
                    "NameOfGroup": "Time.VAT return this period flag",
                    "EquationToParse": "IF(AND([Model period end]>=[VAT return this period beginning date],[Model period start]<=[VAT return this period beginning date]),1,0)",
                    "MostRecentExpectedUnitErrors": null,
                    "Units": {
                      "$id": "45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VAT return this period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52",
              "$type": "ModelMaker.GroupNode, ModelMaker",
              "TabOrHeaderColour": "",
              "Comment": "",
              "NameOfGroup": "Time",
              "YPosition": 6,
              "Folded": false,
              "Font": null,
              "Children": {
                "$type": "ModelMaker.GroupNodeChildCollection, ModelMaker",
                "$values": [
                  {
                    "$id": "45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ee3383a3-0ad4-42ec-8aba-f9bdbe4c9488",
                    "Dimensions": {
                      "$type": "ModelMakerEngine.MMDimensions, ModelMakerEngine",
                      "$values": []
                    },
                    "EquationOBXInternal": "IF([Model period start]>=[Use short term forecast flag end date],0,1)",
                    "NameOfGroup": "Time.Use short term forecast flag",
                    "EquationToParse": "IF([Model period start]>=[Use short term forecast flag end date],0,1)",
                    "MostRecentExpectedUnitErrors": null,
                    "Units": {
                      "$id": "454",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"Use short term forecast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"Use short term forecast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true,
        "DimensionsAcross": {
          "$type": "ModelMakerEngine.MMDimensions, ModelMakerEngine",
          "$values": []
        },
        "TimeAxis": 0,
        "IndexInParent": 2,
        "Name": "Time",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"455",
        "$type": "ModelMaker.GroupNode, ModelMaker",
        "TabOrHeaderColour": "",
        "Comment": "",
        "NameOfGroup": "Model Checks and Alerts",
        "YPosition": 0,
        "Folded": true,
        "Font": null,
        "Children": {
          "$type": "ModelMaker.GroupNodeChildCollection, ModelMaker",
          "$values": [
            {
              "$id": "456",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"1eede8d6-8d08-487e-a217-fc1fd64abee1",
              "Dimensions": {
                "$type": "ModelMakerEngine.MMDimensions, ModelMakerEngine",
                "$values": []
              },
              "EquationOBXInternal": "IF(ROUND(ABS([Net Assets] - [Shareholder Equity]),6)=0,0,1)",
              "NameOfGroup": "Model Checks and Alerts.Model Checks",
              "EquationToParse": "IF(ROUND(ABS([Net Assets] - [Shareholder Equity]),6)=0,0,1)",
              "MostRecentExpectedUnitErrors": null,
              "Units": {
                "$id": "457",
                "$type": "ModelMaker.Unit, ModelMaker",
                "NumberFormatOverride": null,
                "MatchAnything": true,
                "ExternalRepresentation": "Check",
                "ItemsOnTop": {
                  "$type": "System.Collections.Generic.List`1[[System.String, mscorlib]], mscorlib",
                  "$values": [
                    "CHECK"
                  ]
                },
                "ItemsOnBottom": {
                  "$type": "System.Collections.Generic.List`1[[System.String, mscorlib]], mscorlib",
                  "$values": []
                },
                "IsCurrency": false,
                "ContainsSMU": false,
                "IsDimensionless": false,
                "InsertRowTotal": true,
                "IgnoreWhenDeterminingExpectedUnits": false
              },
              "Name": "Balance Sheet Balances",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"458",
        "$type": "ModelMaker.GroupNode, ModelMaker",
        "TabOrHeaderColour": "",
        "Comment": "",
        "NameOfGroup": "Model Checks and Alerts",
        "YPosition": 1,
        "Folded": true,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"459",
        "$type": "ModelMaker.GroupNode, ModelMaker",
        "TabOrHeaderColour": "",
        "Comment": "",
        "NameOfGroup": null,
        "YPosition": 0,
        "Folded": false,
        "Font": null,
        "Children": {
          "$type": "ModelMaker.GroupNodeChildCollection, ModelMaker",
          "$values": [
            {
              "$ref": "455"
            },
            {
              "$ref": "458"
            }
          ]
        },
        "AllowAddChildren": true,
        "AllowRemoveChildren": true,
        "IsImported": false,
        "IsChecksGroup": false,
        "IsAlertsGroup": false,
        "IsChecksAndAlertsGroup": true,
        "IsUnallocatedGroup": false,
        "IsInputsGroup": false,
        "IsFlag": false,
        "IsTimeAndFlagsGroup": false,
        "DimensionsAcross": {
          "$type": "ModelMakerEngine.MMDimensions, ModelMakerEngine",
          "$values": []
        },
        "TimeAxis": 0,
        "IndexInParent": 17,
        "Name": "Model Checks and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"203"
      },
      {
        "$ref": "390"
      },
      {
        "$ref": "396"
      },
      {
        "$ref": "199"
      },
      {
        "$ref": "388"
      },
      {
        "$ref": "391"
      },
      {
        "$ref": "201"
      },
      {
        "$ref": "393"
      },
      {
        "$ref": "250"
      },
      {
        "$ref": "220"
      },
      {
        "$ref": "136"
      },
      {
        "$id": "460",
        "$type": "ModelMaker.GroupNode, ModelMaker",
        "TabOrHeaderColour": "",
        "Comment": "",
        "NameOfGroup": null,
        "YPosition": 0,
        "Folded": false,
        "Font": null,
        "Children": {
          "$type": "ModelMaker.GroupNodeChildCollection, ModelMaker",
          "$values": [
            {
              "$ref": "158"
            },
            {
              "$ref": "119"
            },
            {
              "$id": "461",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"18cf54d4-7a85-41f7-bc50-0a3ff8e90579",
              "Dimensions": {
                "$type": "ModelMakerEngine.MMDimensions, ModelMakerEngine",
                "$values": []
              },
              "EquationOBXInternal": "IF([Customer Orders Awaiting Fullfilment] + [Minimum quantity before reorder] - BEG([Units on order]) > 0,  FLOOR(([Customer Orders Awaiting Fullfilment] + [Minimum quantity before reorder]- BEG([Units on order])) / [Minimum supplier order quantity], 1) * [Minimum supplier order quantity], 0)",
              "NameOfGroup": "Inventory",
              "EquationToParse": "IF([Customer Orders Awaiting Fullfilment] + [Minimum quantity before reorder] - [Units on order!!BEG] > 0,  FLOOR(([Customer Orders Awaiting Fullfilment] + [Minimum quantity before reorder]- [Units on order!!BEG]) / [Minimum supplier order quantity], 1) * [Minimum supplier order quantity], 0)",
              "MostRecentExpectedUnitErrors": null,
              "Units": {
                "$id": "462",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"96"
            },
            {
              "$ref": "114"
            },
            {
              "$ref": "113"
            },
            {
              "$ref": "126"
            },
            {
              "$ref": "122"
            },
            {
              "$ref": "131"
            },
            {
              "$ref": "123"
            },
            {
              "$ref": "134"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7,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"131"
      },
      {
        "$ref": "243"
      },
      {
        "$ref": "113"
      },
      {
        "$ref": "122"
      },
      {
        "$ref": "96"
      },
      {
        "$ref": "114"
      },
      {
        "$ref": "119"
      },
      {
        "$ref": "126"
      },
      {
        "$id": "463",
        "$type": "ModelMaker.GroupNode, ModelMaker",
        "TabOrHeaderColour": "",
        "Comment": "",
        "NameOfGroup": null,
        "YPosition": 0,
        "Folded": false,
        "Font": null,
        "Children": {
          "$type": "ModelMaker.GroupNodeChildCollection, ModelMaker",
          "$values": [
            {
              "$ref": "102"
            },
            {
              "$ref": "108"
            },
            {
              "$ref": "109"
            },
            {
              "$ref": "105"
            },
            {
              "$id": "464",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"ef9a6bb1-25b3-44f3-84b2-b517cc21dc40",
              "Dimensions": {
                "$type": "ModelMakerEngine.MMDimensions, ModelMakerEngine",
                "$values": []
              },
              "EquationOBXInternal": "([New customer orders]+[Renewing Customer Orders]) * [Sales Price Unit] * [Contract Length]",
              "NameOfGroup": "Customers",
              "EquationToParse": "([New customer orders]+[Renewing Customer Orders]) * [Sales Price Unit] * [Contract Length]",
              "MostRecentExpectedUnitErrors": null,
              "Units": {
                "$id": "465",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5,
        "Name": "Customers",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"108"
      },
      {
        "$ref": "218"
      },
      {
        "$ref": "205"
      },
      {
        "$ref": "253"
      },
      {
        "$id": "466",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18,
        "Name": "Optimisation",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"267"
      },
      {
        "$ref": "263"
      },
      {
        "$ref": "265"
      },
      {
        "$ref": "102"
      },
      {
        "$ref": "109"
      },
      {
        "$ref": "223"
      },
      {
        "$ref": "225"
      },
      {
        "$ref": "62"
      },
      {
        "$id": "467",
        "$type": "ModelMaker.GroupNode, ModelMaker",
        "TabOrHeaderColour": "",
        "Comment": "",
        "NameOfGroup": null,
        "YPosition": 0,
        "Folded": false,
        "Font": null,
        "Children": {
          "$type": "ModelMaker.GroupNodeChildCollection, ModelMaker",
          "$values":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"468",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"190"
      },
      {
        "$ref": "287"
      },
      {
        "$ref": "150"
      },
      {
        "$ref": "9"
      },
      {
        "$ref": "22"
      },
      {
        "$ref": "95"
      },
      {
        "$ref": "281"
      },
      {
        "$id": "469",
        "$type": "ModelMaker.GroupNode, ModelMaker",
        "TabOrHeaderColour": "",
        "Comment": "",
        "NameOfGroup": null,
        "YPosition": 0,
        "Folded": false,
        "Font": null,
        "Children": {
          "$type": "ModelMaker.GroupNodeChildCollection, ModelMaker",
          "$values": [
            {
              "$ref": "150"
            },
            {
              "$ref": "156"
            },
            {
              "$ref": "187"
            },
            {
              "$ref": "194"
            },
            {
              "$ref": "190"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4,
        "Name": "Financials",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"247"
      },
      {
        "$ref": "196"
      },
      {
        "$ref": "4"
      },
      {
        "$ref": "152"
      },
      {
        "$ref": "279"
      },
      {
        "$ref": "187"
      },
      {
        "$ref": "143"
      },
      {
        "$ref": "283"
      },
      {
        "$ref": "155"
      },
      {
        "$ref": "285"
      },
      {
        "$ref": "456"
      },
      {
        "$ref": "144"
      },
      {
        "$ref": "156"
      },
      {
        "$ref": "269"
      },
      {
        "$ref": "399"
      },
      {
        "$ref": "212"
      },
      {
        "$ref": "401"
      },
      {
        "$ref": "403"
      },
      {
        "$ref": "215"
      },
      {
        "$ref": "405"
      },
      {
        "$ref": "407"
      },
      {
        "$ref": "409"
      },
      {
        "$ref": "411"
      },
      {
        "$ref": "413"
      },
      {
        "$ref": "398"
      },
      {
        "$ref": "209"
      },
      {
        "$ref": "244"
      },
      {
        "$ref": "228"
      },
      {
        "$id": "470",
        "$type": "ModelMaker.GroupNode, ModelMaker",
        "TabOrHeaderColour": "",
        "Comment": "",
        "NameOfGroup": null,
        "YPosition": 0,
        "Folded": false,
        "Font": null,
        "Children": {
          "$type": "ModelMaker.GroupNodeChildCollection, ModelMaker",
          "$values": [
            {
              "$ref": "22"
            },
            {
              "$ref": "9"
            },
            {
              "$ref": "155"
            },
            {
              "$ref": "143"
            },
            {
              "$ref": "12"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10,
        "Name": "Working Capital",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"471",
        "$type": "ModelMaker.GroupNode, ModelMaker",
        "TabOrHeaderColour": "",
        "Comment": "",
        "NameOfGroup": null,
        "YPosition": 0,
        "Folded": false,
        "Font": null,
        "Children": {
          "$type": "ModelMaker.GroupNodeChildCollection, ModelMaker",
          "$values": [
            {
              "$ref": "144"
            },
            {
              "$ref": "62"
            },
            {
              "$ref": "152"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6,
        "Name": "Income",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"472",
        "$type": "ModelMaker.GroupNode, ModelMaker",
        "TabOrHeaderColour": "",
        "Comment": "",
        "NameOfGroup": null,
        "YPosition": 0,
        "Folded": false,
        "Font": null,
        "Children": {
          "$type": "ModelMaker.GroupNodeChildCollection, ModelMaker",
          "$values": [
            {
              "$ref": "159"
            },
            {
              "$ref": "67"
            },
            {
              "$ref": "65"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9,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"67"
      },
      {
        "$ref": "105"
      },
      {
        "$ref": "65"
      },
      {
        "$ref": "464"
      },
      {
        "$ref": "240"
      },
      {
        "$ref": "231"
      },
      {
        "$ref": "418"
      },
      {
        "$ref": "234"
      },
      {
        "$ref": "420"
      },
      {
        "$ref": "422"
      },
      {
        "$ref": "237"
      },
      {
        "$ref": "424"
      },
      {
        "$ref": "426"
      },
      {
        "$ref": "428"
      },
      {
        "$ref": "430"
      },
      {
        "$ref": "432"
      },
      {
        "$ref": "417"
      },
      {
        "$ref": "12"
      },
      {
        "$ref": "256"
      },
      {
        "$ref": "232"
      },
      {
        "$ref": "206"
      },
      {
        "$ref": "290"
      },
      {
        "$ref": "293"
      },
      {
        "$ref": "321"
      },
      {
        "$ref": "318"
      },
      {
        "$ref": "162"
      },
      {
        "$ref": "27"
      },
      {
        "$ref": "30"
      },
      {
        "$ref": "163"
      },
      {
        "$ref": "76"
      },
      {
        "$ref": "45"
      },
      {
        "$id": "473",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"44657efe-5ab7-48fa-b7ca-b6dc9cae69bd",
        "Dimensions": {
          "$type": "ModelMakerEngine.MMDimensions, ModelMakerEngine",
          "$values": []
        },
        "EquationOBXInternal": "[All in Supply Chain Finance annual interest rate]/[debt day count convention]*[Days in period]",
        "NameOfGroup": "Trade Finance",
        "EquationToParse": "[All in Supply Chain Finance annual interest rate]/[debt day count convention]*[Days in period]",
        "MostRecentExpectedUnitErrors": null,
        "Units": {
          "$id": "474",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"475",
        "$type": "ModelMaker.GroupNode, ModelMaker",
        "TabOrHeaderColour": "",
        "Comment": "",
        "NameOfGroup": null,
        "YPosition": 0,
        "Folded": false,
        "Font": null,
        "Children": {
          "$type": "ModelMaker.GroupNodeChildCollection, ModelMaker",
          "$values": [
            {
              "$ref": "162"
            },
            {
              "$ref": "27"
            },
            {
              "$ref": "30"
            },
            {
              "$ref": "163"
            },
            {
              "$ref": "76"
            },
            {
              "$ref": "45"
            },
            {
              "$ref": "473"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12,
        "Name": "Supply Chain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"289"
      },
      {
        "$ref": "324"
      },
      {
        "$ref": "277"
      },
      {
        "$ref": "167"
      },
      {
        "$ref": "33"
      },
      {
        "$ref": "36"
      },
      {
        "$ref": "168"
      },
      {
        "$ref": "79"
      },
      {
        "$ref": "48"
      },
      {
        "$id": "476",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"fa815e79-5019-49a9-b3ab-19309ae72ace",
        "Dimensions": {
          "$type": "ModelMakerEngine.MMDimensions, ModelMakerEngine",
          "$values": []
        },
        "EquationOBXInternal": "[All in Invoice Finance annual interest rate]/[debt day count convention]*[Days in period]",
        "NameOfGroup": "Invoice finance",
        "EquationToParse": "[All in Invoice Finance annual interest rate]/[debt day count convention]*[Days in period]",
        "MostRecentExpectedUnitErrors": null,
        "Units": {
          "$id": "477",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"478",
        "$type": "ModelMaker.GroupNode, ModelMaker",
        "TabOrHeaderColour": "",
        "Comment": "",
        "NameOfGroup": null,
        "YPosition": 0,
        "Folded": false,
        "Font": null,
        "Children": {
          "$type": "ModelMaker.GroupNodeChildCollection, ModelMaker",
          "$values": [
            {
              "$ref": "167"
            },
            {
              "$ref": "33"
            },
            {
              "$ref": "36"
            },
            {
              "$ref": "168"
            },
            {
              "$ref": "79"
            },
            {
              "$ref": "48"
            },
            {
              "$ref": "476"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11,
        "Name": "Invoice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"303"
      },
      {
        "$ref": "306"
      },
      {
        "$ref": "309"
      },
      {
        "$ref": "311"
      },
      {
        "$ref": "296"
      },
      {
        "$ref": "20"
      },
      {
        "$ref": "25"
      },
      {
        "$ref": "54"
      },
      {
        "$id": "479",
        "$type": "ModelMaker.VariableNode, ModelMaker",
        "RowTotalDependent": null,
        "PutCalculationOnReport": false,
        "CalculateOnThisReport": null,
        "PivotTableLink": null,
        "ExcelNameName": "Cash_Low",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"ce4c81c2-e907-495c-8641-0600699d9309",
        "Dimensions": {
          "$type": "ModelMakerEngine.MMDimensions, ModelMakerEngine",
          "$values": []
        },
        "EquationOBXInternal": "MIN( ALLVALUES([Cash]))",
        "NameOfGroup": "Unallocated",
        "EquationToParse": "MIN( ALLVALUES([Cash]))",
        "MostRecentExpectedUnitErrors": null,
        "Units": {
          "$ref": "2"
        },
        "Name": "Cash Low",
        "ReportLines": {
          "$type": "ModelMaker.UndoableCollection`1[[ModelMakerEngine.IReportLine, ModelMakerEngine]], ModelMaker.Undo",
          "$values": [
            {
              "$id": "480",
              "$type": "ModelMaker.ReportLine, ModelMaker",
              "AssociatedSchematicNode": {
                "$ref": "479"
              },
              "OpeningBalanceFlagAppliedName": "",
              "SumOfAboveIncludesPreviousTotal": false,
              "LastNameUsed": null,
              "SwitchSignForReport": false,
              "IsSumOfAbove": false,
              "ParentReport": {
                "$id": "481",
                "$type": "ModelMaker.Report, ModelMaker",
                "TimeStep": 8,
                "YearEndBasis": 1002,
                "TimeStepYearEndBasisPairs": {
                  "$type": "ModelMaker.UndoableCollection`1[[ModelMakerEngine.TimeStepPeriodEndBasisPair, ModelMakerEngine]], ModelMaker.Undo",
                  "$values": [
                    {
                      "$id": "482",
                      "$type": "ModelMakerEngine.TimeStepPeriodEndBasisPair, ModelMakerEngine",
                      "TimeStep": 8,
                      "YearEnd": 1002
                    }
                  ]
                },
                "YearEndMonth": 0,
                "AllowTitleChange": true,
                "IsDuplicate": false,
                "Title": "Metrics Report",
                "ReportLinesCalculated": {
                  "$type": "System.Collections.Generic.List`1[[ModelMakerEngine.IReportLine, ModelMakerEngine]], mscorlib",
                  "$values": []
                },
                "ReportLines": {
                  "$type": "ModelMaker.UndoableCollection`1[[ModelMakerEngine.IReportLine, ModelMakerEngine]], ModelMaker.Undo",
                  "$values": [
                    {
                      "$ref": "480"
                    }
                  ]
                },
                "AllowIncomingLinks": false,
                "AllowOutgoingLinks": false,
                "YPosition": -1,
                "Name": "Metrics Report",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"HeadingLevel": 0,
              "ReportFormatName": null,
              "YPosition": -1,
              "Visible": true,
              "Font": null,
              "AllowIncomingLinks": true,
              "AllowOutgoingLinks": true,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"483",
        "$type": "ModelMaker.GroupNode, ModelMaker",
        "TabOrHeaderColour": "",
        "Comment": "",
        "NameOfGroup": null,
        "YPosition": 0,
        "Folded": false,
        "Font": null,
        "Children": {
          "$type": "ModelMaker.GroupNodeChildCollection, ModelMaker",
          "$values": [
            {
              "$ref": "479"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3,
        "Name": "Metrics",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"484",
        "$type": "ModelMaker.GroupNode, ModelMaker",
        "TabOrHeaderColour": "",
        "Comment": "",
        "NameOfGroup": null,
        "YPosition": 0,
        "Folded": false,
        "Font": null,
        "Children": {
          "$type": "ModelMaker.GroupNodeChildCollection, ModelMaker",
          "$values": [
            {
              "$ref": "192"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16,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"192"
      },
      {
        "$ref": "275"
      },
      {
        "$ref": "56"
      },
      {
        "$ref": "194"
      },
      {
        "$ref": "374"
      },
      {
        "$ref": "297"
      },
      {
        "$ref": "300"
      },
      {
        "$ref": "437"
      },
      {
        "$ref": "434"
      },
      {
        "$ref": "315"
      },
      {
        "$ref": "312"
      },
      {
        "$ref": "435"
      },
      {
        "$ref": "57"
      },
      {
        "$ref": "90"
      },
      {
        "$ref": "185"
      },
      {
        "$ref": "74"
      },
      {
        "$id": "485",
        "$type": "ModelMaker.TimeNode, ModelMaker",
        "ForceUpdate": 1,
        "Axis": 0,
        "EndDate": "2028-04-30T00:00:00",
        "MonthsPerPeriod": 1,
        "StartDate": "2023-05-01T00:00:00",
        "NumberOfPeriods": 60,
        "TimeStep": 5,
        "YearEndBasis": 0,
        "YearEndMonth": 0,
        "YPosition": -1,
        "Parent": {
          "$ref": "1"
        },
        "Visible": false,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"394"
      },
      {
        "$id": "486",
        "$type": "ModelMaker.GroupNode, ModelMaker",
        "TabOrHeaderColour": "",
        "Comment": "",
        "NameOfGroup": null,
        "YPosition": 0,
        "Folded": false,
        "Font": null,
        "Children": {
          "$type": "ModelMaker.GroupNodeChildCollection, ModelMaker",
          "$values": [
            {
              "$ref": "71"
            },
            {
              "$ref": "95"
            },
            {
              "$ref": "140"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8,
        "Name": "Assets",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"140"
      },
      {
        "$ref": "273"
      },
      {
        "$ref": "260"
      },
      {
        "$ref": "71"
      },
      {
        "$ref": "172"
      },
      {
        "$ref": "39"
      },
      {
        "$ref": "42"
      },
      {
        "$ref": "173"
      },
      {
        "$ref": "82"
      },
      {
        "$ref": "51"
      },
      {
        "$id": "487",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"3f264bcc-06f7-4346-84bf-f86e93b903f8",
        "Dimensions": {
          "$type": "ModelMakerEngine.MMDimensions, ModelMakerEngine",
          "$values": []
        },
        "EquationOBXInternal": "[All in Trade finance annual interest rate]/[debt day count convention]*[Days in period]",
        "NameOfGroup": "Trade Finance",
        "EquationToParse": "[All in Trade finance annual interest rate]/[debt day count convention]*[Days in period]",
        "MostRecentExpectedUnitErrors": null,
        "Units": {
          "$id": "488",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"489",
        "$type": "ModelMaker.GroupNode, ModelMaker",
        "TabOrHeaderColour": "",
        "Comment": "",
        "NameOfGroup": null,
        "YPosition": 0,
        "Folded": false,
        "Font": null,
        "Children": {
          "$type": "ModelMaker.GroupNodeChildCollection, ModelMaker",
          "$values": [
            {
              "$ref": "172"
            },
            {
              "$ref": "39"
            },
            {
              "$ref": "42"
            },
            {
              "$ref": "173"
            },
            {
              "$ref": "82"
            },
            {
              "$ref": "51"
            },
            {
              "$ref": "487"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13,
        "Name": "Asset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"439"
      },
      {
        "$ref": "343"
      },
      {
        "$ref": "340"
      },
      {
        "$ref": "337"
      },
      {
        "$ref": "334"
      },
      {
        "$ref": "331"
      },
      {
        "$ref": "328"
      },
      {
        "$ref": "327"
      },
      {
        "$ref": "69"
      },
      {
        "$ref": "441"
      },
      {
        "$ref": "442"
      },
      {
        "$ref": "444"
      },
      {
        "$ref": "346"
      },
      {
        "$ref": "446"
      },
      {
        "$ref": "349"
      },
      {
        "$ref": "448"
      },
      {
        "$ref": "450"
      },
      {
        "$id": "490",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"7e694583-f504-4406-997b-7ac5216f540b",
        "Dimensions": {
          "$type": "ModelMakerEngine.MMDimensions, ModelMakerEngine",
          "$values": []
        },
        "EquationOBXInternal": "[VAT on inventory] + [VAT on operating expense]",
        "NameOfGroup": "VAT",
        "EquationToParse": "[VAT on inventory] + [VAT on operating expense]",
        "MostRecentExpectedUnitErrors": null,
        "Units": {
          "$id": "491",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"146"
      },
      {
        "$ref": "178"
      },
      {
        "$ref": "177"
      },
      {
        "$ref": "270"
      },
      {
        "$ref": "358"
      },
      {
        "$ref": "14"
      },
      {
        "$id": "492",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true,
        "UniqueID": "fc000bd4-113f-4834-a6f8-057c303cc66f",
        "Dimensions": {
          "$type": "ModelMakerEngine.MMDimensions, ModelMakerEngine",
          "$values": []
        },
        "EquationOBXInternal": "INT([VAT payment delay in months]/[Months per period])",
        "NameOfGroup": "VAT",
        "EquationToParse": "INT([VAT payment delay in months]/[Months per period])",
        "MostRecentExpectedUnitErrors": null,
        "Units": {
          "$id": "493",
          "$type": "ModelMaker.Unit, ModelMaker",
          "NumberFormatOverride": null,
          "MatchAnything": false,
          "ExternalRepresentation": "period",
          "ItemsOnTop": {
            "$type": "System.Collections.Generic.List`1[[System.String, mscorlib]], mscorlib",
            "$values": [
              "PERIOD"
            ]
          },
          "ItemsOnBottom": {
            "$type": "System.Collections.Generic.List`1[[System.String, mscorlib]], mscorlib",
            "$values": []
          },
          "IsCurrency": false,
          "ContainsSMU": false,
          "IsDimensionless": false,
          "InsertRowTotal": true,
          "IgnoreWhenDeterminingExpectedUnits": false
        },
        "Name": "VAT payment delay",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"494",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"8690ccd7-3c2e-4df7-9e46-64558f33f5e3",
        "Dimensions": {
          "$type": "ModelMakerEngine.MMDimensions, ModelMakerEngine",
          "$values": []
        },
        "EquationOBXInternal": "[VAT return this period flag]* (BEG([VAT balance])+[VAT due])",
        "NameOfGroup": "VAT",
        "EquationToParse": "[VAT return this period flag]* ([VAT balance!!BEG]+[VAT due])",
        "MostRecentExpectedUnitErrors": null,
        "Units": {
          "$id": "495",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quarterly return",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"496",
        "$type": "ModelMaker.GroupNode, ModelMaker",
        "TabOrHeaderColour": "",
        "Comment": "",
        "NameOfGroup": null,
        "YPosition": 0,
        "Folded": false,
        "Font": null,
        "Children": {
          "$type": "ModelMaker.GroupNodeChildCollection, ModelMaker",
          "$values": [
            {
              "$ref": "490"
            },
            {
              "$ref": "146"
            },
            {
              "$ref": "178"
            },
            {
              "$ref": "177"
            },
            {
              "$ref": "14"
            },
            {
              "$ref": "492"
            },
            {
              "$ref": "494"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14,
        "Name": "VAT",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"345"
      },
      {
        "$ref": "355"
      },
      {
        "$ref": "352"
      },
      {
        "$ref": "159"
      },
      {
        "$ref": "158"
      },
      {
        "$ref": "362"
      },
      {
        "$ref": "365"
      },
      {
        "$id": "497",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"54682693-0d1c-4cd2-abe0-c98a7cca9dff",
        "Dimensions": {
          "$type": "ModelMakerEngine.MMDimensions, ModelMakerEngine",
          "$values": []
        },
        "EquationOBXInternal": "[EBITDA]",
        "NameOfGroup": "Corporation tax",
        "EquationToParse": "[EBITDA]",
        "MostRecentExpectedUnitErrors": null,
        "Units": {
          "$id": "498",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"499",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"975e7f78-31e1-44c7-aae1-04664b798516",
        "Dimensions": {
          "$type": "ModelMakerEngine.MMDimensions, ModelMakerEngine",
          "$values": []
        },
        "EquationOBXInternal": "MAX([Taxable income / (Tax losses arising)],0)",
        "NameOfGroup": "Corporation tax",
        "EquationToParse": "MAX([Taxable income / (Tax losses arising)],0)",
        "MostRecentExpectedUnitErrors": null,
        "Units": {
          "$id": "500",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"501",
        "$type": "ModelMaker.GroupNode, ModelMaker",
        "TabOrHeaderColour": "",
        "Comment": "",
        "NameOfGroup": "Corporation tax",
        "YPosition": 3,
        "Folded": true,
        "Font": null,
        "Children": {
          "$type": "ModelMaker.GroupNodeChildCollection, ModelMaker",
          "$values": [
            {
              "$id": "502",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"4f3e8218-5963-4535-890d-4a103d528ca9",
              "Dimensions": {
                "$type": "ModelMakerEngine.MMDimensions, ModelMakerEngine",
                "$values": []
              },
              "EquationOBXInternal": "0-1*MIN([Taxable income / (Tax losses arising)],0)",
              "NameOfGroup": "Corporation tax.Tax losses",
              "EquationToParse": "0-1*MIN([Taxable income / (Tax losses arising)],0)",
              "MostRecentExpectedUnitErrors": null,
              "Units": {
                "$id": "503",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"504",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"a3cca98b-6c1e-48d0-9a5b-e7a9a59731c3",
              "Dimensions": {
                "$type": "ModelMakerEngine.MMDimensions, ModelMakerEngine",
                "$values": []
              },
              "EquationOBXInternal": "MIN([Taxable income],BEG([Tax losses carried forward balance]))",
              "NameOfGroup": "Corporation tax.Tax losses",
              "EquationToParse": "MIN([Taxable income],[Tax losses carried forward balance!!BEG])",
              "MostRecentExpectedUnitErrors": null,
              "Units": {
                "$id": "505",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"506",
              "$type": "ModelMaker.StockNode, ModelMaker",
              "OpeningOrActualsName": "",
              "InFlows": {
                "$type": "System.Collections.Generic.List`1[[ModelMakerEngine.IEquationNode, ModelMakerEngine]], mscorlib",
                "$values": [
                  {
                    "$ref": "502"
                  }
                ]
              },
              "OutFlows": {
                "$type": "System.Collections.Generic.List`1[[ModelMakerEngine.IEquationNode, ModelMakerEngine]], mscorlib",
                "$values": [
                  {
                    "$ref": "504"
                  }
                ]
              },
              "FlagApplied": null,
              "ActualsFlag": null,
              "Name": "Tax losses carried forward balance",
              "HasDefaultEquation": false,
              "NonStandardBalanceFormula": false,
              "EquationOBXInternal": "IF([Period number]=1,[Tax losses carried forward - initial balance],BEG()+[Tax losses arising]-[Tax losses utilised])",
              "InitialOpeningVariable": null,
              "Units": {
                "$id": "507",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"ExcelNameName": null,
              "ExcelNameNames": {
                "$type": "ModelMakerEngine.ExcelNameDictionary, ModelMakerEngine",
                "$values": []
              },
              "NumberFormatOverride": null,
              "Deletable": true,
              "Comment": "",
              "HasSwitchSignLine": false,
              "SwitchSignForReport": false,
              "MultipleInputValues": null,
              "NonPrimaryInput": false,
              "Max": "NaN",
              "Min": "NaN",
              "IsBalanceButNotCorkscrew": false,
              "IsEditable": true,
              "IsConstant": false,
              "UniqueID": "a30bb86e-4487-4417-a6d9-c70b34f25a5b",
              "Dimensions": {
                "$type": "ModelMakerEngine.MMDimensions, ModelMakerEngine",
                "$values": []
              },
              "NameOfGroup": "Corporation tax.Tax losses",
              "EquationToParse": "IF([Period number]=1,[Tax losses carried forward - initial balance],BEG()+[Tax losses arising]-[Tax losses utilised])",
              "MostRecentExpectedUnitErrors": null,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"Tax losses",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"502"
      },
      {
        "$ref": "504"
      },
      {
        "$ref": "506"
      },
      {
        "$id": "508",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"74ac0bad-20b4-4416-9bd0-fdc72edd9862",
        "Dimensions": {
          "$type": "ModelMakerEngine.MMDimensions, ModelMakerEngine",
          "$values": []
        },
        "EquationOBXInternal": "[Taxable income]-[Tax losses utilised]",
        "NameOfGroup": "Corporation tax",
        "EquationToParse": "[Taxable income]-[Tax losses utilised]",
        "MostRecentExpectedUnitErrors": null,
        "Units": {
          "$id": "509",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net of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"368"
      },
      {
        "$ref": "88"
      },
      {
        "$ref": "197"
      },
      {
        "$ref": "85"
      },
      {
        "$id": "510",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"f6575541-1090-447d-87a6-8f12d97a4ea5",
        "Dimensions": {
          "$type": "ModelMakerEngine.MMDimensions, ModelMakerEngine",
          "$values": []
        },
        "EquationOBXInternal": "IF(MONTH([Model period start])>[Month corporation tax paid], DATE(YEAR([Model period start])+1, [Month corporation tax paid],1), DATE(YEAR([Model period start]), [Month corporation tax paid],1))",
        "NameOfGroup": "Corporation tax",
        "EquationToParse": "IF(MONTH([Model period start])>[Month corporation tax paid], DATE(YEAR([Model period start])+1, [Month corporation tax paid],1), DATE(YEAR([Model period start]), [Month corporation tax paid],1))",
        "MostRecentExpectedUnitErrors": null,
        "Units": {
          "$id": "511",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"Date corporation tax paid this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"512",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false,
        "UniqueID": "2ea6cb32-6970-4310-80a5-3b8bb6563f9f",
        "Dimensions": {
          "$type": "ModelMakerEngine.MMDimensions, ModelMakerEngine",
          "$values": []
        },
        "EquationOBXInternal": "IF(AND([Date corporation tax paid this year]>=[Model period start],[Date corporation tax paid this year]<=[Model period end]),1,0)",
        "NameOfGroup": "Corporation tax",
        "EquationToParse": "IF(AND([Date corporation tax paid this year]>=[Model period start],[Date corporation tax paid this year]<=[Model period end]),1,0)",
        "MostRecentExpectedUnitErrors": null,
        "Units": {
          "$id": "513",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orporation tax paid this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14",
        "$type": "ModelMaker.GroupNode, ModelMaker",
        "TabOrHeaderColour": "",
        "Comment": "",
        "NameOfGroup": "Corporation tax",
        "YPosition": 9,
        "Folded": true,
        "Font": null,
        "Children": {
          "$type": "ModelMaker.GroupNodeChildCollection, ModelMaker",
          "$values": [
            {
              "$ref": "17"
            },
            {
              "$ref": "18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creditor",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7"
      },
      {
        "$ref": "371"
      },
      {
        "$ref": "182"
      },
      {
        "$id": "515",
        "$type": "ModelMaker.VariableNode, ModelMaker",
        "RowTotalDependent": null,
        "PutCalculationOnReport": false,
        "CalculateOnThisReport": null,
        "PivotTableLink": null,
        "ExcelNameName": null,
        "ExcelNameNames": {
          "$type": "ModelMakerEngine.ExcelNameDictionary, ModelMakerEngine",
          "$values": []
        },
        "NumberFormatOverride": null,
        "HasOpeningBalanceFlag": false,
        "OpeningBalanceFlagAppliedName": "",
        "Deletable": true,
        "Comment": "",
        "HasSwitchSignLine": false,
        "SwitchSignForReport": false,
        "MultipleInputValues": null,
        "NonPrimaryInput": false,
        "Max": "NaN",
        "Min": "NaN",
        "IsBalanceButNotCorkscrew": false,
        "IsEditable": true,
        "IsConstant": true,
        "UniqueID": "1565647a-fa82-449d-a318-a6b658d507ae",
        "Dimensions": {
          "$type": "ModelMakerEngine.MMDimensions, ModelMakerEngine",
          "$values": []
        },
        "EquationOBXInternal": "SUM(ALLVALUES([Corporation tax]))/SUM(ALLVALUES([Profit before tax]))",
        "NameOfGroup": "Corporation tax",
        "EquationToParse": "SUM(ALLVALUES([Corporation tax]))/SUM(ALLVALUES([Profit before tax]))",
        "MostRecentExpectedUnitErrors": null,
        "Units": {
          "$id": "51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Effective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HasStandardDescription": false,
        "HasStandardName": false,
        "OptimisationNodePair": null,
        "IsOptimisationNode": false,
        "Actuals": null,
        "UDFCode": null,
        "AssociatedOptimisationNodes": null,
        "CustomNamedRange": null,
        "IsRowTotal": false,
        "YPosition": 1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517",
        "$type": "ModelMaker.GroupNode, ModelMaker",
        "TabOrHeaderColour": "",
        "Comment": "",
        "NameOfGroup": null,
        "YPosition": 0,
        "Folded": false,
        "Font": null,
        "Children": {
          "$type": "ModelMaker.GroupNodeChildCollection, ModelMaker",
          "$values": [
            {
              "$ref": "69"
            },
            {
              "$ref": "497"
            },
            {
              "$ref": "499"
            },
            {
              "$ref": "501"
            },
            {
              "$ref": "508"
            },
            {
              "$ref": "88"
            },
            {
              "$ref": "85"
            },
            {
              "$ref": "510"
            },
            {
              "$ref": "512"
            },
            {
              "$ref": "514"
            },
            {
              "$ref": "515"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5,
        "Name": "Corporation ta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61"
      },
      {
        "$ref": "375"
      },
      {
        "$ref": "453"
      },
      {
        "$ref": "382"
      },
      {
        "$ref": "452"
      },
      {
        "$ref": "134"
      },
      {
        "$ref": "257"
      },
      {
        "$ref": "123"
      },
      {
        "$ref": "380"
      },
      {
        "$ref": "378"
      },
      {
        "$ref": "376"
      },
      {
        "$ref": "461"
      },
      {
        "$ref": "415"
      },
      {
        "$ref": "385"
      }
    ]
  },
  "Reports": {
    "$type": "ModelMaker.UndoableCollection`1[[ModelMakerEngine.IReport, ModelMakerEngine]], ModelMaker.Undo",
    "$values": [
      {
        "$ref": "59"
      },
      {
        "$ref": "92"
      },
      {
        "$ref": "6"
      },
      {
        "$ref": "99"
      },
      {
        "$ref": "481"
      },
      {
        "$id": "518",
        "$type": "ModelMaker.Report, ModelMaker",
        "TimeStep": 5,
        "YearEndBasis": 0,
        "TimeStepYearEndBasisPairs": {
          "$type": "ModelMaker.UndoableCollection`1[[ModelMakerEngine.TimeStepPeriodEndBasisPair, ModelMakerEngine]], ModelMaker.Undo",
          "$values": [
            {
              "$id": "519",
              "$type": "ModelMakerEngine.TimeStepPeriodEndBasisPair, ModelMakerEngine",
              "TimeStep": 5,
              "YearEnd": 0
            }
          ]
        },
        "YearEndMonth": 0,
        "AllowTitleChange": true,
        "IsDuplicate": true,
        "Title": "Income Statement base",
        "ReportLinesCalculated": {
          "$type": "System.Collections.Generic.List`1[[ModelMakerEngine.IReportLine, ModelMakerEngine]], mscorlib",
          "$values": [
            {
              "$ref": "61"
            },
            {
              "$ref": "64"
            },
            {
              "$ref": "66"
            },
            {
              "$ref": "68"
            },
            {
              "$ref": "70"
            },
            {
              "$ref": "73"
            },
            {
              "$ref": "75"
            },
            {
              "$ref": "78"
            },
            {
              "$ref": "81"
            },
            {
              "$ref": "84"
            },
            {
              "$ref": "87"
            },
            {
              "$ref": "58"
            }
          ]
        },
        "ReportLines": {
          "$type": "ModelMaker.UndoableCollection`1[[ModelMakerEngine.IReportLine, ModelMakerEngine]], ModelMaker.Undo",
          "$values": [
            {
              "$ref": "61"
            },
            {
              "$ref": "64"
            },
            {
              "$ref": "66"
            },
            {
              "$ref": "68"
            },
            {
              "$ref": "70"
            },
            {
              "$ref": "73"
            },
            {
              "$ref": "75"
            },
            {
              "$ref": "78"
            },
            {
              "$ref": "81"
            },
            {
              "$ref": "84"
            },
            {
              "$ref": "87"
            },
            {
              "$ref": "58"
            }
          ]
        },
        "AllowIncomingLinks": false,
        "AllowOutgoingLinks": false,
        "YPosition": -1,
        "Name": "Income Statement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0",
        "$type": "ModelMaker.Report, ModelMaker",
        "TimeStep": 6,
        "YearEndBasis": 0,
        "TimeStepYearEndBasisPairs": {
          "$type": "ModelMaker.UndoableCollection`1[[ModelMakerEngine.TimeStepPeriodEndBasisPair, ModelMakerEngine]], ModelMaker.Undo",
          "$values": [
            {
              "$id": "521",
              "$type": "ModelMakerEngine.TimeStepPeriodEndBasisPair, ModelMakerEngine",
              "TimeStep": 6,
              "YearEnd": 0
            }
          ]
        },
        "YearEndMonth": 0,
        "AllowTitleChange": true,
        "IsDuplicate": true,
        "Title": "Income Statement base 1",
        "ReportLinesCalculated": {
          "$type": "System.Collections.Generic.List`1[[ModelMakerEngine.IReportLine, ModelMakerEngine]], mscorlib",
          "$values": [
            {
              "$ref": "61"
            },
            {
              "$ref": "64"
            },
            {
              "$ref": "66"
            },
            {
              "$ref": "68"
            },
            {
              "$ref": "70"
            },
            {
              "$ref": "73"
            },
            {
              "$ref": "75"
            },
            {
              "$ref": "78"
            },
            {
              "$ref": "81"
            },
            {
              "$ref": "84"
            },
            {
              "$ref": "87"
            },
            {
              "$ref": "58"
            }
          ]
        },
        "ReportLines": {
          "$type": "ModelMaker.UndoableCollection`1[[ModelMakerEngine.IReportLine, ModelMakerEngine]], ModelMaker.Undo",
          "$values": [
            {
              "$ref": "61"
            },
            {
              "$ref": "64"
            },
            {
              "$ref": "66"
            },
            {
              "$ref": "68"
            },
            {
              "$ref": "70"
            },
            {
              "$ref": "73"
            },
            {
              "$ref": "75"
            },
            {
              "$ref": "78"
            },
            {
              "$ref": "81"
            },
            {
              "$ref": "84"
            },
            {
              "$ref": "87"
            },
            {
              "$ref": "58"
            }
          ]
        },
        "AllowIncomingLinks": false,
        "AllowOutgoingLinks": false,
        "YPosition": -1,
        "Name": "Income Statement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2",
        "$type": "ModelMaker.Report, ModelMaker",
        "TimeStep": 7,
        "YearEndBasis": 0,
        "TimeStepYearEndBasisPairs": {
          "$type": "ModelMaker.UndoableCollection`1[[ModelMakerEngine.TimeStepPeriodEndBasisPair, ModelMakerEngine]], ModelMaker.Undo",
          "$values": [
            {
              "$id": "523",
              "$type": "ModelMakerEngine.TimeStepPeriodEndBasisPair, ModelMakerEngine",
              "TimeStep": 7,
              "YearEnd": 0
            }
          ]
        },
        "YearEndMonth": 0,
        "AllowTitleChange": true,
        "IsDuplicate": true,
        "Title": "Income Statement base 2",
        "ReportLinesCalculated": {
          "$type": "System.Collections.Generic.List`1[[ModelMakerEngine.IReportLine, ModelMakerEngine]], mscorlib",
          "$values": [
            {
              "$ref": "61"
            },
            {
              "$ref": "64"
            },
            {
              "$ref": "66"
            },
            {
              "$ref": "68"
            },
            {
              "$ref": "70"
            },
            {
              "$ref": "73"
            },
            {
              "$ref": "75"
            },
            {
              "$ref": "78"
            },
            {
              "$ref": "81"
            },
            {
              "$ref": "84"
            },
            {
              "$ref": "87"
            },
            {
              "$ref": "58"
            }
          ]
        },
        "ReportLines": {
          "$type": "ModelMaker.UndoableCollection`1[[ModelMakerEngine.IReportLine, ModelMakerEngine]], ModelMaker.Undo",
          "$values": [
            {
              "$ref": "61"
            },
            {
              "$ref": "64"
            },
            {
              "$ref": "66"
            },
            {
              "$ref": "68"
            },
            {
              "$ref": "70"
            },
            {
              "$ref": "73"
            },
            {
              "$ref": "75"
            },
            {
              "$ref": "78"
            },
            {
              "$ref": "81"
            },
            {
              "$ref": "84"
            },
            {
              "$ref": "87"
            },
            {
              "$ref": "58"
            }
          ]
        },
        "AllowIncomingLinks": false,
        "AllowOutgoingLinks": false,
        "YPosition": -1,
        "Name": "Income Statement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4",
        "$type": "ModelMaker.Report, ModelMaker",
        "TimeStep": 5,
        "YearEndBasis": 0,
        "TimeStepYearEndBasisPairs": {
          "$type": "ModelMaker.UndoableCollection`1[[ModelMakerEngine.TimeStepPeriodEndBasisPair, ModelMakerEngine]], ModelMaker.Undo",
          "$values": [
            {
              "$id": "525",
              "$type": "ModelMakerEngine.TimeStepPeriodEndBasisPair, ModelMakerEngine",
              "TimeStep": 5,
              "YearEnd": 0
            }
          ]
        },
        "YearEndMonth": 0,
        "AllowTitleChange": true,
        "IsDuplicate": true,
        "Title": "Balance Sheet base",
        "ReportLinesCalculated": {
          "$type": "System.Collections.Generic.List`1[[ModelMakerEngine.IReportLine, ModelMakerEngine]], mscorlib",
          "$values": [
            {
              "$ref": "94"
            },
            {
              "$ref": "139"
            },
            {
              "$ref": "142"
            },
            {
              "$ref": "149"
            },
            {
              "$ref": "91"
            },
            {
              "$ref": "151"
            },
            {
              "$ref": "154"
            },
            {
              "$ref": "161"
            },
            {
              "$ref": "166"
            },
            {
              "$ref": "171"
            },
            {
              "$ref": "176"
            },
            {
              "$ref": "181"
            },
            {
              "$ref": "184"
            },
            {
              "$ref": "186"
            },
            {
              "$ref": "189"
            },
            {
              "$ref": "191"
            },
            {
              "$ref": "193"
            }
          ]
        },
        "ReportLines": {
          "$type": "ModelMaker.UndoableCollection`1[[ModelMakerEngine.IReportLine, ModelMakerEngine]], ModelMaker.Undo",
          "$values": [
            {
              "$ref": "94"
            },
            {
              "$ref": "139"
            },
            {
              "$ref": "142"
            },
            {
              "$ref": "149"
            },
            {
              "$ref": "91"
            },
            {
              "$ref": "151"
            },
            {
              "$ref": "154"
            },
            {
              "$ref": "161"
            },
            {
              "$ref": "166"
            },
            {
              "$ref": "171"
            },
            {
              "$ref": "176"
            },
            {
              "$ref": "181"
            },
            {
              "$ref": "184"
            },
            {
              "$ref": "186"
            },
            {
              "$ref": "189"
            },
            {
              "$ref": "191"
            },
            {
              "$ref": "193"
            }
          ]
        },
        "AllowIncomingLinks": false,
        "AllowOutgoingLinks": false,
        "YPosition": -1,
        "Name": "Balance Sheet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6",
        "$type": "ModelMaker.Report, ModelMaker",
        "TimeStep": 6,
        "YearEndBasis": 0,
        "TimeStepYearEndBasisPairs": {
          "$type": "ModelMaker.UndoableCollection`1[[ModelMakerEngine.TimeStepPeriodEndBasisPair, ModelMakerEngine]], ModelMaker.Undo",
          "$values": [
            {
              "$id": "527",
              "$type": "ModelMakerEngine.TimeStepPeriodEndBasisPair, ModelMakerEngine",
              "TimeStep": 6,
              "YearEnd": 0
            }
          ]
        },
        "YearEndMonth": 0,
        "AllowTitleChange": true,
        "IsDuplicate": true,
        "Title": "Balance Sheet base 1",
        "ReportLinesCalculated": {
          "$type": "System.Collections.Generic.List`1[[ModelMakerEngine.IReportLine, ModelMakerEngine]], mscorlib",
          "$values": [
            {
              "$ref": "94"
            },
            {
              "$ref": "139"
            },
            {
              "$ref": "142"
            },
            {
              "$ref": "149"
            },
            {
              "$ref": "91"
            },
            {
              "$ref": "151"
            },
            {
              "$ref": "154"
            },
            {
              "$ref": "161"
            },
            {
              "$ref": "166"
            },
            {
              "$ref": "171"
            },
            {
              "$ref": "176"
            },
            {
              "$ref": "181"
            },
            {
              "$ref": "184"
            },
            {
              "$ref": "186"
            },
            {
              "$ref": "189"
            },
            {
              "$ref": "191"
            },
            {
              "$ref": "193"
            }
          ]
        },
        "ReportLines": {
          "$type": "ModelMaker.UndoableCollection`1[[ModelMakerEngine.IReportLine, ModelMakerEngine]], ModelMaker.Undo",
          "$values": [
            {
              "$ref": "94"
            },
            {
              "$ref": "139"
            },
            {
              "$ref": "142"
            },
            {
              "$ref": "149"
            },
            {
              "$ref": "91"
            },
            {
              "$ref": "151"
            },
            {
              "$ref": "154"
            },
            {
              "$ref": "161"
            },
            {
              "$ref": "166"
            },
            {
              "$ref": "171"
            },
            {
              "$ref": "176"
            },
            {
              "$ref": "181"
            },
            {
              "$ref": "184"
            },
            {
              "$ref": "186"
            },
            {
              "$ref": "189"
            },
            {
              "$ref": "191"
            },
            {
              "$ref": "193"
            }
          ]
        },
        "AllowIncomingLinks": false,
        "AllowOutgoingLinks": false,
        "YPosition": -1,
        "Name": "Balance Sheet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28",
        "$type": "ModelMaker.Report, ModelMaker",
        "TimeStep": 7,
        "YearEndBasis": 0,
        "TimeStepYearEndBasisPairs": {
          "$type": "ModelMaker.UndoableCollection`1[[ModelMakerEngine.TimeStepPeriodEndBasisPair, ModelMakerEngine]], ModelMaker.Undo",
          "$values": [
            {
              "$id": "529",
              "$type": "ModelMakerEngine.TimeStepPeriodEndBasisPair, ModelMakerEngine",
              "TimeStep": 7,
              "YearEnd": 0
            }
          ]
        },
        "YearEndMonth": 0,
        "AllowTitleChange": true,
        "IsDuplicate": true,
        "Title": "Balance Sheet base 2",
        "ReportLinesCalculated": {
          "$type": "System.Collections.Generic.List`1[[ModelMakerEngine.IReportLine, ModelMakerEngine]], mscorlib",
          "$values": [
            {
              "$ref": "94"
            },
            {
              "$ref": "139"
            },
            {
              "$ref": "142"
            },
            {
              "$ref": "149"
            },
            {
              "$ref": "91"
            },
            {
              "$ref": "151"
            },
            {
              "$ref": "154"
            },
            {
              "$ref": "161"
            },
            {
              "$ref": "166"
            },
            {
              "$ref": "171"
            },
            {
              "$ref": "176"
            },
            {
              "$ref": "181"
            },
            {
              "$ref": "184"
            },
            {
              "$ref": "186"
            },
            {
              "$ref": "189"
            },
            {
              "$ref": "191"
            },
            {
              "$ref": "193"
            }
          ]
        },
        "ReportLines": {
          "$type": "ModelMaker.UndoableCollection`1[[ModelMakerEngine.IReportLine, ModelMakerEngine]], ModelMaker.Undo",
          "$values": [
            {
              "$ref": "94"
            },
            {
              "$ref": "139"
            },
            {
              "$ref": "142"
            },
            {
              "$ref": "149"
            },
            {
              "$ref": "91"
            },
            {
              "$ref": "151"
            },
            {
              "$ref": "154"
            },
            {
              "$ref": "161"
            },
            {
              "$ref": "166"
            },
            {
              "$ref": "171"
            },
            {
              "$ref": "176"
            },
            {
              "$ref": "181"
            },
            {
              "$ref": "184"
            },
            {
              "$ref": "186"
            },
            {
              "$ref": "189"
            },
            {
              "$ref": "191"
            },
            {
              "$ref": "193"
            }
          ]
        },
        "AllowIncomingLinks": false,
        "AllowOutgoingLinks": false,
        "YPosition": -1,
        "Name": "Balance Sheet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0",
        "$type": "ModelMaker.Report, ModelMaker",
        "TimeStep": 5,
        "YearEndBasis": 0,
        "TimeStepYearEndBasisPairs": {
          "$type": "ModelMaker.UndoableCollection`1[[ModelMakerEngine.TimeStepPeriodEndBasisPair, ModelMakerEngine]], ModelMaker.Undo",
          "$values": [
            {
              "$id": "531",
              "$type": "ModelMakerEngine.TimeStepPeriodEndBasisPair, ModelMakerEngine",
              "TimeStep": 5,
              "YearEnd": 0
            }
          ]
        },
        "YearEndMonth": 0,
        "AllowTitleChange": true,
        "IsDuplicate": true,
        "Title": "Cashflow base",
        "ReportLinesCalculated": {
          "$type": "System.Collections.Generic.List`1[[ModelMakerEngine.IReportLine, ModelMakerEngine]], mscorlib",
          "$values": [
            {
              "$ref": "8"
            },
            {
              "$ref": "11"
            },
            {
              "$ref": "13"
            },
            {
              "$ref": "16"
            },
            {
              "$ref": "19"
            },
            {
              "$ref": "21"
            },
            {
              "$ref": "24"
            },
            {
              "$ref": "26"
            },
            {
              "$ref": "29"
            },
            {
              "$ref": "32"
            },
            {
              "$ref": "35"
            },
            {
              "$ref": "38"
            },
            {
              "$ref": "41"
            },
            {
              "$ref": "44"
            },
            {
              "$ref": "47"
            },
            {
              "$ref": "50"
            },
            {
              "$ref": "53"
            },
            {
              "$ref": "55"
            },
            {
              "$ref": "5"
            }
          ]
        },
        "ReportLines": {
          "$type": "ModelMaker.UndoableCollection`1[[ModelMakerEngine.IReportLine, ModelMakerEngine]], ModelMaker.Undo",
          "$values": [
            {
              "$ref": "8"
            },
            {
              "$ref": "11"
            },
            {
              "$ref": "13"
            },
            {
              "$ref": "16"
            },
            {
              "$ref": "19"
            },
            {
              "$ref": "21"
            },
            {
              "$ref": "24"
            },
            {
              "$ref": "26"
            },
            {
              "$ref": "29"
            },
            {
              "$ref": "32"
            },
            {
              "$ref": "35"
            },
            {
              "$ref": "38"
            },
            {
              "$ref": "41"
            },
            {
              "$ref": "44"
            },
            {
              "$ref": "47"
            },
            {
              "$ref": "50"
            },
            {
              "$ref": "53"
            },
            {
              "$ref": "55"
            },
            {
              "$ref": "5"
            }
          ]
        },
        "AllowIncomingLinks": false,
        "AllowOutgoingLinks": false,
        "YPosition": -1,
        "Name": "Cashflow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2",
        "$type": "ModelMaker.Report, ModelMaker",
        "TimeStep": 6,
        "YearEndBasis": 0,
        "TimeStepYearEndBasisPairs": {
          "$type": "ModelMaker.UndoableCollection`1[[ModelMakerEngine.TimeStepPeriodEndBasisPair, ModelMakerEngine]], ModelMaker.Undo",
          "$values": [
            {
              "$id": "533",
              "$type": "ModelMakerEngine.TimeStepPeriodEndBasisPair, ModelMakerEngine",
              "TimeStep": 6,
              "YearEnd": 0
            }
          ]
        },
        "YearEndMonth": 0,
        "AllowTitleChange": true,
        "IsDuplicate": true,
        "Title": "Cashflow base 1",
        "ReportLinesCalculated": {
          "$type": "System.Collections.Generic.List`1[[ModelMakerEngine.IReportLine, ModelMakerEngine]], mscorlib",
          "$values": [
            {
              "$ref": "8"
            },
            {
              "$ref": "11"
            },
            {
              "$ref": "13"
            },
            {
              "$ref": "16"
            },
            {
              "$ref": "19"
            },
            {
              "$ref": "21"
            },
            {
              "$ref": "24"
            },
            {
              "$ref": "26"
            },
            {
              "$ref": "29"
            },
            {
              "$ref": "32"
            },
            {
              "$ref": "35"
            },
            {
              "$ref": "38"
            },
            {
              "$ref": "41"
            },
            {
              "$ref": "44"
            },
            {
              "$ref": "47"
            },
            {
              "$ref": "50"
            },
            {
              "$ref": "53"
            },
            {
              "$ref": "55"
            },
            {
              "$ref": "5"
            }
          ]
        },
        "ReportLines": {
          "$type": "ModelMaker.UndoableCollection`1[[ModelMakerEngine.IReportLine, ModelMakerEngine]], ModelMaker.Undo",
          "$values": [
            {
              "$ref": "8"
            },
            {
              "$ref": "11"
            },
            {
              "$ref": "13"
            },
            {
              "$ref": "16"
            },
            {
              "$ref": "19"
            },
            {
              "$ref": "21"
            },
            {
              "$ref": "24"
            },
            {
              "$ref": "26"
            },
            {
              "$ref": "29"
            },
            {
              "$ref": "32"
            },
            {
              "$ref": "35"
            },
            {
              "$ref": "38"
            },
            {
              "$ref": "41"
            },
            {
              "$ref": "44"
            },
            {
              "$ref": "47"
            },
            {
              "$ref": "50"
            },
            {
              "$ref": "53"
            },
            {
              "$ref": "55"
            },
            {
              "$ref": "5"
            }
          ]
        },
        "AllowIncomingLinks": false,
        "AllowOutgoingLinks": false,
        "YPosition": -1,
        "Name": "Cashflow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4",
        "$type": "ModelMaker.Report, ModelMaker",
        "TimeStep": 7,
        "YearEndBasis": 0,
        "TimeStepYearEndBasisPairs": {
          "$type": "ModelMaker.UndoableCollection`1[[ModelMakerEngine.TimeStepPeriodEndBasisPair, ModelMakerEngine]], ModelMaker.Undo",
          "$values": [
            {
              "$id": "535",
              "$type": "ModelMakerEngine.TimeStepPeriodEndBasisPair, ModelMakerEngine",
              "TimeStep": 7,
              "YearEnd": 0
            }
          ]
        },
        "YearEndMonth": 0,
        "AllowTitleChange": true,
        "IsDuplicate": true,
        "Title": "Cashflow base 2",
        "ReportLinesCalculated": {
          "$type": "System.Collections.Generic.List`1[[ModelMakerEngine.IReportLine, ModelMakerEngine]], mscorlib",
          "$values": [
            {
              "$ref": "8"
            },
            {
              "$ref": "11"
            },
            {
              "$ref": "13"
            },
            {
              "$ref": "16"
            },
            {
              "$ref": "19"
            },
            {
              "$ref": "21"
            },
            {
              "$ref": "24"
            },
            {
              "$ref": "26"
            },
            {
              "$ref": "29"
            },
            {
              "$ref": "32"
            },
            {
              "$ref": "35"
            },
            {
              "$ref": "38"
            },
            {
              "$ref": "41"
            },
            {
              "$ref": "44"
            },
            {
              "$ref": "47"
            },
            {
              "$ref": "50"
            },
            {
              "$ref": "53"
            },
            {
              "$ref": "55"
            },
            {
              "$ref": "5"
            }
          ]
        },
        "ReportLines": {
          "$type": "ModelMaker.UndoableCollection`1[[ModelMakerEngine.IReportLine, ModelMakerEngine]], ModelMaker.Undo",
          "$values": [
            {
              "$ref": "8"
            },
            {
              "$ref": "11"
            },
            {
              "$ref": "13"
            },
            {
              "$ref": "16"
            },
            {
              "$ref": "19"
            },
            {
              "$ref": "21"
            },
            {
              "$ref": "24"
            },
            {
              "$ref": "26"
            },
            {
              "$ref": "29"
            },
            {
              "$ref": "32"
            },
            {
              "$ref": "35"
            },
            {
              "$ref": "38"
            },
            {
              "$ref": "41"
            },
            {
              "$ref": "44"
            },
            {
              "$ref": "47"
            },
            {
              "$ref": "50"
            },
            {
              "$ref": "53"
            },
            {
              "$ref": "55"
            },
            {
              "$ref": "5"
            }
          ]
        },
        "AllowIncomingLinks": false,
        "AllowOutgoingLinks": false,
        "YPosition": -1,
        "Name": "Cashflow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6",
        "$type": "ModelMaker.Report, ModelMaker",
        "TimeStep": 5,
        "YearEndBasis": 0,
        "TimeStepYearEndBasisPairs": {
          "$type": "ModelMaker.UndoableCollection`1[[ModelMakerEngine.TimeStepPeriodEndBasisPair, ModelMakerEngine]], ModelMaker.Undo",
          "$values": [
            {
              "$id": "537",
              "$type": "ModelMakerEngine.TimeStepPeriodEndBasisPair, ModelMakerEngine",
              "TimeStep": 5,
              "YearEnd": 0
            }
          ]
        },
        "YearEndMonth": 0,
        "AllowTitleChange": true,
        "IsDuplicate": true,
        "Title": "Inventory Report base",
        "ReportLinesCalculated": {
          "$type": "System.Collections.Generic.List`1[[ModelMakerEngine.IReportLine, ModelMakerEngine]], mscorlib",
          "$values": [
            {
              "$ref": "101"
            },
            {
              "$ref": "104"
            },
            {
              "$ref": "107"
            },
            {
              "$ref": "98"
            },
            {
              "$ref": "112"
            },
            {
              "$ref": "116"
            },
            {
              "$ref": "118"
            },
            {
              "$ref": "121"
            },
            {
              "$ref": "128"
            },
            {
              "$ref": "130"
            },
            {
              "$ref": "125"
            },
            {
              "$ref": "133"
            }
          ]
        },
        "ReportLines": {
          "$type": "ModelMaker.UndoableCollection`1[[ModelMakerEngine.IReportLine, ModelMakerEngine]], ModelMaker.Undo",
          "$values": [
            {
              "$ref": "101"
            },
            {
              "$ref": "104"
            },
            {
              "$ref": "107"
            },
            {
              "$ref": "98"
            },
            {
              "$ref": "112"
            },
            {
              "$ref": "116"
            },
            {
              "$ref": "118"
            },
            {
              "$ref": "121"
            },
            {
              "$ref": "128"
            },
            {
              "$ref": "130"
            },
            {
              "$ref": "125"
            },
            {
              "$ref": "133"
            }
          ]
        },
        "AllowIncomingLinks": false,
        "AllowOutgoingLinks": false,
        "YPosition": -1,
        "Name": "Inventory Report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38",
        "$type": "ModelMaker.Report, ModelMaker",
        "TimeStep": 6,
        "YearEndBasis": 0,
        "TimeStepYearEndBasisPairs": {
          "$type": "ModelMaker.UndoableCollection`1[[ModelMakerEngine.TimeStepPeriodEndBasisPair, ModelMakerEngine]], ModelMaker.Undo",
          "$values": [
            {
              "$id": "539",
              "$type": "ModelMakerEngine.TimeStepPeriodEndBasisPair, ModelMakerEngine",
              "TimeStep": 6,
              "YearEnd": 0
            }
          ]
        },
        "YearEndMonth": 0,
        "AllowTitleChange": true,
        "IsDuplicate": true,
        "Title": "Inventory Report base 1",
        "ReportLinesCalculated": {
          "$type": "System.Collections.Generic.List`1[[ModelMakerEngine.IReportLine, ModelMakerEngine]], mscorlib",
          "$values": [
            {
              "$ref": "101"
            },
            {
              "$ref": "104"
            },
            {
              "$ref": "107"
            },
            {
              "$ref": "98"
            },
            {
              "$ref": "112"
            },
            {
              "$ref": "116"
            },
            {
              "$ref": "118"
            },
            {
              "$ref": "121"
            },
            {
              "$ref": "128"
            },
            {
              "$ref": "130"
            },
            {
              "$ref": "125"
            },
            {
              "$ref": "133"
            }
          ]
        },
        "ReportLines": {
          "$type": "ModelMaker.UndoableCollection`1[[ModelMakerEngine.IReportLine, ModelMakerEngine]], ModelMaker.Undo",
          "$values": [
            {
              "$ref": "101"
            },
            {
              "$ref": "104"
            },
            {
              "$ref": "107"
            },
            {
              "$ref": "98"
            },
            {
              "$ref": "112"
            },
            {
              "$ref": "116"
            },
            {
              "$ref": "118"
            },
            {
              "$ref": "121"
            },
            {
              "$ref": "128"
            },
            {
              "$ref": "130"
            },
            {
              "$ref": "125"
            },
            {
              "$ref": "133"
            }
          ]
        },
        "AllowIncomingLinks": false,
        "AllowOutgoingLinks": false,
        "YPosition": -1,
        "Name": "Inventory Report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40",
        "$type": "ModelMaker.Report, ModelMaker",
        "TimeStep": 7,
        "YearEndBasis": 0,
        "TimeStepYearEndBasisPairs": {
          "$type": "ModelMaker.UndoableCollection`1[[ModelMakerEngine.TimeStepPeriodEndBasisPair, ModelMakerEngine]], ModelMaker.Undo",
          "$values": [
            {
              "$id": "541",
              "$type": "ModelMakerEngine.TimeStepPeriodEndBasisPair, ModelMakerEngine",
              "TimeStep": 7,
              "YearEnd": 0
            }
          ]
        },
        "YearEndMonth": 0,
        "AllowTitleChange": true,
        "IsDuplicate": true,
        "Title": "Inventory Report base 2",
        "ReportLinesCalculated": {
          "$type": "System.Collections.Generic.List`1[[ModelMakerEngine.IReportLine, ModelMakerEngine]], mscorlib",
          "$values": [
            {
              "$ref": "101"
            },
            {
              "$ref": "104"
            },
            {
              "$ref": "107"
            },
            {
              "$ref": "98"
            },
            {
              "$ref": "112"
            },
            {
              "$ref": "116"
            },
            {
              "$ref": "118"
            },
            {
              "$ref": "121"
            },
            {
              "$ref": "128"
            },
            {
              "$ref": "130"
            },
            {
              "$ref": "125"
            },
            {
              "$ref": "133"
            }
          ]
        },
        "ReportLines": {
          "$type": "ModelMaker.UndoableCollection`1[[ModelMakerEngine.IReportLine, ModelMakerEngine]], ModelMaker.Undo",
          "$values": [
            {
              "$ref": "101"
            },
            {
              "$ref": "104"
            },
            {
              "$ref": "107"
            },
            {
              "$ref": "98"
            },
            {
              "$ref": "112"
            },
            {
              "$ref": "116"
            },
            {
              "$ref": "118"
            },
            {
              "$ref": "121"
            },
            {
              "$ref": "128"
            },
            {
              "$ref": "130"
            },
            {
              "$ref": "125"
            },
            {
              "$ref": "133"
            }
          ]
        },
        "AllowIncomingLinks": false,
        "AllowOutgoingLinks": false,
        "YPosition": -1,
        "Name": "Inventory Report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42",
        "$type": "ModelMaker.Report, ModelMaker",
        "TimeStep": 5,
        "YearEndBasis": 0,
        "TimeStepYearEndBasisPairs": {
          "$type": "ModelMaker.UndoableCollection`1[[ModelMakerEngine.TimeStepPeriodEndBasisPair, ModelMakerEngine]], ModelMaker.Undo",
          "$values": [
            {
              "$id": "543",
              "$type": "ModelMakerEngine.TimeStepPeriodEndBasisPair, ModelMakerEngine",
              "TimeStep": 5,
              "YearEnd": 0
            }
          ]
        },
        "YearEndMonth": 0,
        "AllowTitleChange": true,
        "IsDuplicate": true,
        "Title": "Metrics Report base",
        "ReportLinesCalculated": {
          "$type": "System.Collections.Generic.List`1[[ModelMakerEngine.IReportLine, ModelMakerEngine]], mscorlib",
          "$values": [
            {
              "$ref": "480"
            }
          ]
        },
        "ReportLines": {
          "$type": "ModelMaker.UndoableCollection`1[[ModelMakerEngine.IReportLine, ModelMakerEngine]], ModelMaker.Undo",
          "$values": [
            {
              "$ref": "480"
            }
          ]
        },
        "AllowIncomingLinks": false,
        "AllowOutgoingLinks": false,
        "YPosition": -1,
        "Name": "Metrics Report base",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44",
        "$type": "ModelMaker.Report, ModelMaker",
        "TimeStep": 6,
        "YearEndBasis": 0,
        "TimeStepYearEndBasisPairs": {
          "$type": "ModelMaker.UndoableCollection`1[[ModelMakerEngine.TimeStepPeriodEndBasisPair, ModelMakerEngine]], ModelMaker.Undo",
          "$values": [
            {
              "$id": "545",
              "$type": "ModelMakerEngine.TimeStepPeriodEndBasisPair, ModelMakerEngine",
              "TimeStep": 6,
              "YearEnd": 0
            }
          ]
        },
        "YearEndMonth": 0,
        "AllowTitleChange": true,
        "IsDuplicate": true,
        "Title": "Metrics Report base 1",
        "ReportLinesCalculated": {
          "$type": "System.Collections.Generic.List`1[[ModelMakerEngine.IReportLine, ModelMakerEngine]], mscorlib",
          "$values": [
            {
              "$ref": "480"
            }
          ]
        },
        "ReportLines": {
          "$type": "ModelMaker.UndoableCollection`1[[ModelMakerEngine.IReportLine, ModelMakerEngine]], ModelMaker.Undo",
          "$values": [
            {
              "$ref": "480"
            }
          ]
        },
        "AllowIncomingLinks": false,
        "AllowOutgoingLinks": false,
        "YPosition": -1,
        "Name": "Metrics Report base 1",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id": "546",
        "$type": "ModelMaker.Report, ModelMaker",
        "TimeStep": 7,
        "YearEndBasis": 0,
        "TimeStepYearEndBasisPairs": {
          "$type": "ModelMaker.UndoableCollection`1[[ModelMakerEngine.TimeStepPeriodEndBasisPair, ModelMakerEngine]], ModelMaker.Undo",
          "$values": [
            {
              "$id": "547",
              "$type": "ModelMakerEngine.TimeStepPeriodEndBasisPair, ModelMakerEngine",
              "TimeStep": 7,
              "YearEnd": 0
            }
          ]
        },
        "YearEndMonth": 0,
        "AllowTitleChange": true,
        "IsDuplicate": true,
        "Title": "Metrics Report base 2",
        "ReportLinesCalculated": {
          "$type": "System.Collections.Generic.List`1[[ModelMakerEngine.IReportLine, ModelMakerEngine]], mscorlib",
          "$values": [
            {
              "$ref": "480"
            }
          ]
        },
        "ReportLines": {
          "$type": "ModelMaker.UndoableCollection`1[[ModelMakerEngine.IReportLine, ModelMakerEngine]], ModelMaker.Undo",
          "$values": [
            {
              "$ref": "480"
            }
          ]
        },
        "AllowIncomingLinks": false,
        "AllowOutgoingLinks": false,
        "YPosition": -1,
        "Name": "Metrics Report base 2",
        "Parent": {
          "$ref": "1"
        },
        "Visible": true,
        "ToolTip": "",
        "OpeningBalanceFlagAppliedName": "",
        "Font": null,
        "IncomingLinks": {
          "$type": "System.Collections.ObjectModel.Collection`1[[ModelMaker.MMLink, ModelMaker]], mscorlib",
          "$values": []
        },
        "OutgoingLinks": {
          "$type": "System.Collections.ObjectModel.Collection`1[[ModelMaker.MMLink, ModelMaker]], mscorlib",
          "$values": []
        },
        "Deletable": true,
        "Issues": null
      }
    ]
  },
  "TopLevelNodes": {
    "$type": "ModelMaker.UndoableCollection`1[[ModelMakerEngine.INode, ModelMakerEngine]], ModelMaker.Undo",
    "$values": [
      {
        "$ref": "3"
      },
      {
        "$ref": "195"
      },
      {
        "$ref": "387"
      },
      {
        "$ref": "483"
      },
      {
        "$ref": "469"
      },
      {
        "$ref": "463"
      },
      {
        "$ref": "471"
      },
      {
        "$ref": "460"
      },
      {
        "$ref": "486"
      },
      {
        "$ref": "472"
      },
      {
        "$ref": "470"
      },
      {
        "$ref": "478"
      },
      {
        "$ref": "475"
      },
      {
        "$ref": "489"
      },
      {
        "$ref": "496"
      },
      {
        "$ref": "517"
      },
      {
        "$ref": "484"
      },
      {
        "$ref": "459"
      },
      {
        "$ref": "466"
      }
    ]
  },
  "OptimisationGroup": {
    "$ref": "466"
  },
  "HistoricsGroup": null,
  "NumberOfBuiltInGroups": 4,
  "Password": null,
  "ProtectBook": false,
  "Description": null,
  "ActualsHelper": null,
  "StandardNumberFormats": {
    "$id": "548",
    "$type": "System.Collections.Generic.Dictionary`2[[ModelMakerEngine.NamedNumberFormat, ModelMakerEngine],[System.String, mscorlib]], mscorlib"
  },
  "UseHybridTimeline": false,
  "MessageChoices": {
    "$id": "549",
    "$type": "System.Collections.Generic.Dictionary`2[[System.String, mscorlib],[System.Int32, mscorlib]], mscorlib",
    "UnusedItems": 2
  },
  "UnitNumberFormatMapping": {
    "$id": "550",
    "$type": "ModelMakerEngine.UnitNumberFormatMapping, ModelMakerEngine",
    "UnitNumberFormatting": {
      "$id": "551",
      "$type": "System.Collections.Generic.Dictionary`2[[System.String, mscorlib],[ModelMakerEngine.NamedNumberFormat, ModelMakerEngine]], mscorlib"
    },
    "UnitCustomNumberFormatting": {
      "$id": "552",
      "$type": "System.Collections.Generic.Dictionary`2[[System.String, mscorlib],[System.String, mscorlib]], mscorlib"
    }
  },
  "TableSections": {
    "$type": "System.Linq.Enumerable+WhereEnumerableIterator`1[[ModelMakerEngine.IGroupNode, ModelMakerEngine]], System.Core",
    "$values": []
  },
  "ScenarioNamesInModel": {
    "$type": "System.Collections.Generic.List`1[[System.String, mscorlib]], mscorlib",
    "$values": [
      " Base case 1 ",
      " Base case 2 ",
      " Base case 3 ",
      " Scenario 1 ",
      " Scenario 2 ",
      " Scenario 3 ",
      " Scenario 4 "
    ]
  }
}]]>  <Options>
    <TotalsColumn Value="8"/>
    <ConstantsColumn Value="6"/>
    <InputRow Value="7"/>
    <FirstTimeColumn Value="10"/>
    <UnitsColumn Value="7"/>
    <InputName Value="5"/>
    <OutputFileName Value="C:\Repositories\Financial Models\GEN\GEN.xlsx"/>
    <SpacingBetweenBlocks Value="1"/>
    <SpacingBetweenFormulas Value="0"/>
    <SpacingBetweenInputs Value="0"/>
    <SpacingRowsSmall Value="False"/>
    <SpacingRowsSize Value="4"/>
    <TimeRow Value="2"/>
    <InputLayout Value="ConstantsSeparate"/>
    <CalcsLayout Value="Group"/>
    <ExcelFormat Value="2"/>
    <SaveAsXLSB Value="False"/>
    <DimensionsInSeparateColumn Value="False"/>
    <GroupCalculationandResultBlocks Value="True"/>
    <GroupSections Value="True"/>
    <FlagNotAsPercent Value="True"/>
    <Formulanamesonallrows Value="True"/>
    <OpeningBalancesText Value=""/>
    <ClosingBalancetext Value=""/>
    <FreezeFrames Value="True"/>
    <EnforceOneFormula Value="False"/>
    <HideGridlines Value="True"/>
    <ResultsLayout Value="Group"/>
    <GroupBlocks Value="True"/>
    <FASTBlocks Value="True"/>
    <FASTImportColor Value="True"/>
    <FASTExportColor Value="True"/>
    <FASTSpacing Value="True"/>
    <FastColorCounterflows Value="False"/>
    <FASTTotalsColumn Value="8"/>
    <FASTLiveLabels Value="True"/>
    <FASTVBAScenarios Value="False"/>
    <FASTPyramidStructure Value="True"/>
    <FASTRowAnchorLinks Value="True"/>
    <ReviewColumn Value="False"/>
  </Options>
</ModelMaker>
</file>

<file path=customXml/itemProps1.xml><?xml version="1.0" encoding="utf-8"?>
<ds:datastoreItem xmlns:ds="http://schemas.openxmlformats.org/officeDocument/2006/customXml" ds:itemID="{3E9A6EB3-4213-4EA0-9BF7-E560590B7B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273</vt:i4>
      </vt:variant>
    </vt:vector>
  </HeadingPairs>
  <TitlesOfParts>
    <vt:vector size="324" baseType="lpstr">
      <vt:lpstr>SQRNavigation</vt:lpstr>
      <vt:lpstr>SQRInputBindings</vt:lpstr>
      <vt:lpstr>SQRChartBindings</vt:lpstr>
      <vt:lpstr>SQRAnnual</vt:lpstr>
      <vt:lpstr>SQRMonthly</vt:lpstr>
      <vt:lpstr>Cover</vt:lpstr>
      <vt:lpstr>Contents</vt:lpstr>
      <vt:lpstr>InpC</vt:lpstr>
      <vt:lpstr>InpS</vt:lpstr>
      <vt:lpstr>InpT</vt:lpstr>
      <vt:lpstr>Time</vt:lpstr>
      <vt:lpstr>Unallocated</vt:lpstr>
      <vt:lpstr>Metrics</vt:lpstr>
      <vt:lpstr>Financials</vt:lpstr>
      <vt:lpstr>Customers</vt:lpstr>
      <vt:lpstr>Income</vt:lpstr>
      <vt:lpstr>Inventory</vt:lpstr>
      <vt:lpstr>Assets</vt:lpstr>
      <vt:lpstr>Expense</vt:lpstr>
      <vt:lpstr>Working Capital</vt:lpstr>
      <vt:lpstr>Invoice finance</vt:lpstr>
      <vt:lpstr>Supply Chain finance</vt:lpstr>
      <vt:lpstr>Asset Finance</vt:lpstr>
      <vt:lpstr>VAT</vt:lpstr>
      <vt:lpstr>Corporation tax</vt:lpstr>
      <vt:lpstr>Equity</vt:lpstr>
      <vt:lpstr>Model Checks and Alerts</vt:lpstr>
      <vt:lpstr>Income Statement Ann</vt:lpstr>
      <vt:lpstr>Balance Sheet Ann</vt:lpstr>
      <vt:lpstr>Cashflow Ann</vt:lpstr>
      <vt:lpstr>Inventory Report Ann</vt:lpstr>
      <vt:lpstr>Metrics Report Ann</vt:lpstr>
      <vt:lpstr>Income Statement</vt:lpstr>
      <vt:lpstr>Income Statement Qly</vt:lpstr>
      <vt:lpstr>Income Statement SemiAnnually</vt:lpstr>
      <vt:lpstr>Balance Sheet</vt:lpstr>
      <vt:lpstr>Balance Sheet Qly</vt:lpstr>
      <vt:lpstr>Balance Sheet SemiAnnually</vt:lpstr>
      <vt:lpstr>Cashflow</vt:lpstr>
      <vt:lpstr>Cashflow Qly</vt:lpstr>
      <vt:lpstr>Cashflow SemiAnnually</vt:lpstr>
      <vt:lpstr>Inventory Report</vt:lpstr>
      <vt:lpstr>Inventory Report Qly</vt:lpstr>
      <vt:lpstr>Inventory Report SemiAnnually</vt:lpstr>
      <vt:lpstr>Metrics Report</vt:lpstr>
      <vt:lpstr>Metrics Report Qly</vt:lpstr>
      <vt:lpstr>Metrics Report SemiAnnually</vt:lpstr>
      <vt:lpstr>Results Table</vt:lpstr>
      <vt:lpstr>Output</vt:lpstr>
      <vt:lpstr>Issues</vt:lpstr>
      <vt:lpstr>Styles</vt:lpstr>
      <vt:lpstr>Asset_Finance_balance</vt:lpstr>
      <vt:lpstr>Asset_Finance_balance.BEG</vt:lpstr>
      <vt:lpstr>Asset_Finance_drawdown</vt:lpstr>
      <vt:lpstr>Asset_Finance_interest</vt:lpstr>
      <vt:lpstr>Asset_Finance_interest.NEG</vt:lpstr>
      <vt:lpstr>Asset_Finance_interest_paid</vt:lpstr>
      <vt:lpstr>Asset_Finance_interest_paid.NEG</vt:lpstr>
      <vt:lpstr>Asset_Finance_principal_repayment</vt:lpstr>
      <vt:lpstr>Asset_Finance_principal_repayment.NEG</vt:lpstr>
      <vt:lpstr>Assets</vt:lpstr>
      <vt:lpstr>CASE_ACTIVE</vt:lpstr>
      <vt:lpstr>CASE_COMPARISON</vt:lpstr>
      <vt:lpstr>Cash</vt:lpstr>
      <vt:lpstr>Cash.BEG</vt:lpstr>
      <vt:lpstr>Cash_in_from_Sales</vt:lpstr>
      <vt:lpstr>Cash_out_on_Inventory</vt:lpstr>
      <vt:lpstr>Cash_out_on_Inventory.NEG</vt:lpstr>
      <vt:lpstr>Cash_out_on_Operating_Expense</vt:lpstr>
      <vt:lpstr>Cash_out_on_Operating_Expense.NEG</vt:lpstr>
      <vt:lpstr>CF_after_capex</vt:lpstr>
      <vt:lpstr>CF_after_financing</vt:lpstr>
      <vt:lpstr>Constants</vt:lpstr>
      <vt:lpstr>Contract_year</vt:lpstr>
      <vt:lpstr>Corporation_tax</vt:lpstr>
      <vt:lpstr>Corporation_tax.NEG</vt:lpstr>
      <vt:lpstr>Corporation_tax_creditor</vt:lpstr>
      <vt:lpstr>Corporation_tax_creditor.BEG</vt:lpstr>
      <vt:lpstr>Corporation_tax_paid</vt:lpstr>
      <vt:lpstr>Corporation_tax_paid.NEG</vt:lpstr>
      <vt:lpstr>Creditors</vt:lpstr>
      <vt:lpstr>Creditors.BEG</vt:lpstr>
      <vt:lpstr>Customer_Orders_Awaiting_Fullfilment</vt:lpstr>
      <vt:lpstr>Customer_Orders_Awaiting_Fullfilment.BEG</vt:lpstr>
      <vt:lpstr>Debtors</vt:lpstr>
      <vt:lpstr>Debtors.BEG</vt:lpstr>
      <vt:lpstr>Deferred_Income</vt:lpstr>
      <vt:lpstr>Deferred_Income.BEG</vt:lpstr>
      <vt:lpstr>Deployed_units_returned</vt:lpstr>
      <vt:lpstr>Depreciation</vt:lpstr>
      <vt:lpstr>Depreciation.BEG</vt:lpstr>
      <vt:lpstr>Depreciation.NEG</vt:lpstr>
      <vt:lpstr>Depreciation_this_period</vt:lpstr>
      <vt:lpstr>Depreciation_this_period.NEG</vt:lpstr>
      <vt:lpstr>EBIT</vt:lpstr>
      <vt:lpstr>EBITDA</vt:lpstr>
      <vt:lpstr>ExampleInputRow</vt:lpstr>
      <vt:lpstr>InpC!FirstDifferenceCell</vt:lpstr>
      <vt:lpstr>InpC!FirstRow</vt:lpstr>
      <vt:lpstr>FirstRow</vt:lpstr>
      <vt:lpstr>FirstTime</vt:lpstr>
      <vt:lpstr>Fixed_operating_expense</vt:lpstr>
      <vt:lpstr>Fixed_operating_expense.NEG</vt:lpstr>
      <vt:lpstr>Headings</vt:lpstr>
      <vt:lpstr>Income</vt:lpstr>
      <vt:lpstr>InpC!InputChanges</vt:lpstr>
      <vt:lpstr>Inventory</vt:lpstr>
      <vt:lpstr>Inventory.BEG</vt:lpstr>
      <vt:lpstr>Invoice_finance_balance</vt:lpstr>
      <vt:lpstr>Invoice_finance_balance.BEG</vt:lpstr>
      <vt:lpstr>Invoice_finance_drawdown</vt:lpstr>
      <vt:lpstr>Invoice_finance_interest</vt:lpstr>
      <vt:lpstr>Invoice_finance_interest.NEG</vt:lpstr>
      <vt:lpstr>Invoice_finance_interest_paid</vt:lpstr>
      <vt:lpstr>Invoice_finance_interest_paid.NEG</vt:lpstr>
      <vt:lpstr>Invoice_finance_principal_repayment</vt:lpstr>
      <vt:lpstr>Invoice_finance_principal_repayment.NEG</vt:lpstr>
      <vt:lpstr>Label</vt:lpstr>
      <vt:lpstr>Liabilities</vt:lpstr>
      <vt:lpstr>'Asset Finance'!MasterALERT</vt:lpstr>
      <vt:lpstr>Assets!MasterALERT</vt:lpstr>
      <vt:lpstr>'Balance Sheet'!MasterALERT</vt:lpstr>
      <vt:lpstr>'Balance Sheet Ann'!MasterALERT</vt:lpstr>
      <vt:lpstr>'Balance Sheet Qly'!MasterALERT</vt:lpstr>
      <vt:lpstr>'Balance Sheet SemiAnnually'!MasterALERT</vt:lpstr>
      <vt:lpstr>Cashflow!MasterALERT</vt:lpstr>
      <vt:lpstr>'Cashflow Ann'!MasterALERT</vt:lpstr>
      <vt:lpstr>'Cashflow Qly'!MasterALERT</vt:lpstr>
      <vt:lpstr>'Cashflow SemiAnnually'!MasterALERT</vt:lpstr>
      <vt:lpstr>'Corporation tax'!MasterALERT</vt:lpstr>
      <vt:lpstr>Customers!MasterALERT</vt:lpstr>
      <vt:lpstr>Equity!MasterALERT</vt:lpstr>
      <vt:lpstr>Expense!MasterALERT</vt:lpstr>
      <vt:lpstr>Financials!MasterALERT</vt:lpstr>
      <vt:lpstr>Income!MasterALERT</vt:lpstr>
      <vt:lpstr>'Income Statement'!MasterALERT</vt:lpstr>
      <vt:lpstr>'Income Statement Ann'!MasterALERT</vt:lpstr>
      <vt:lpstr>'Income Statement Qly'!MasterALERT</vt:lpstr>
      <vt:lpstr>'Income Statement SemiAnnually'!MasterALERT</vt:lpstr>
      <vt:lpstr>InpS!MasterALERT</vt:lpstr>
      <vt:lpstr>InpT!MasterALERT</vt:lpstr>
      <vt:lpstr>Inventory!MasterALERT</vt:lpstr>
      <vt:lpstr>'Inventory Report'!MasterALERT</vt:lpstr>
      <vt:lpstr>'Inventory Report Ann'!MasterALERT</vt:lpstr>
      <vt:lpstr>'Inventory Report Qly'!MasterALERT</vt:lpstr>
      <vt:lpstr>'Inventory Report SemiAnnually'!MasterALERT</vt:lpstr>
      <vt:lpstr>'Invoice finance'!MasterALERT</vt:lpstr>
      <vt:lpstr>Metrics!MasterALERT</vt:lpstr>
      <vt:lpstr>'Metrics Report'!MasterALERT</vt:lpstr>
      <vt:lpstr>'Metrics Report Ann'!MasterALERT</vt:lpstr>
      <vt:lpstr>'Metrics Report Qly'!MasterALERT</vt:lpstr>
      <vt:lpstr>'Metrics Report SemiAnnually'!MasterALERT</vt:lpstr>
      <vt:lpstr>'Model Checks and Alerts'!MasterALERT</vt:lpstr>
      <vt:lpstr>'Results Table'!MasterALERT</vt:lpstr>
      <vt:lpstr>'Supply Chain finance'!MasterALERT</vt:lpstr>
      <vt:lpstr>Time!MasterALERT</vt:lpstr>
      <vt:lpstr>Unallocated!MasterALERT</vt:lpstr>
      <vt:lpstr>VAT!MasterALERT</vt:lpstr>
      <vt:lpstr>'Working Capital'!MasterALERT</vt:lpstr>
      <vt:lpstr>'Asset Finance'!MasterCHK</vt:lpstr>
      <vt:lpstr>Assets!MasterCHK</vt:lpstr>
      <vt:lpstr>'Balance Sheet'!MasterCHK</vt:lpstr>
      <vt:lpstr>'Balance Sheet Ann'!MasterCHK</vt:lpstr>
      <vt:lpstr>'Balance Sheet Qly'!MasterCHK</vt:lpstr>
      <vt:lpstr>'Balance Sheet SemiAnnually'!MasterCHK</vt:lpstr>
      <vt:lpstr>Cashflow!MasterCHK</vt:lpstr>
      <vt:lpstr>'Cashflow Ann'!MasterCHK</vt:lpstr>
      <vt:lpstr>'Cashflow Qly'!MasterCHK</vt:lpstr>
      <vt:lpstr>'Cashflow SemiAnnually'!MasterCHK</vt:lpstr>
      <vt:lpstr>'Corporation tax'!MasterCHK</vt:lpstr>
      <vt:lpstr>Customers!MasterCHK</vt:lpstr>
      <vt:lpstr>Equity!MasterCHK</vt:lpstr>
      <vt:lpstr>Expense!MasterCHK</vt:lpstr>
      <vt:lpstr>Financials!MasterCHK</vt:lpstr>
      <vt:lpstr>Income!MasterCHK</vt:lpstr>
      <vt:lpstr>'Income Statement'!MasterCHK</vt:lpstr>
      <vt:lpstr>'Income Statement Ann'!MasterCHK</vt:lpstr>
      <vt:lpstr>'Income Statement Qly'!MasterCHK</vt:lpstr>
      <vt:lpstr>'Income Statement SemiAnnually'!MasterCHK</vt:lpstr>
      <vt:lpstr>InpS!MasterCHK</vt:lpstr>
      <vt:lpstr>InpT!MasterCHK</vt:lpstr>
      <vt:lpstr>Inventory!MasterCHK</vt:lpstr>
      <vt:lpstr>'Inventory Report'!MasterCHK</vt:lpstr>
      <vt:lpstr>'Inventory Report Ann'!MasterCHK</vt:lpstr>
      <vt:lpstr>'Inventory Report Qly'!MasterCHK</vt:lpstr>
      <vt:lpstr>'Inventory Report SemiAnnually'!MasterCHK</vt:lpstr>
      <vt:lpstr>'Invoice finance'!MasterCHK</vt:lpstr>
      <vt:lpstr>Metrics!MasterCHK</vt:lpstr>
      <vt:lpstr>'Metrics Report'!MasterCHK</vt:lpstr>
      <vt:lpstr>'Metrics Report Ann'!MasterCHK</vt:lpstr>
      <vt:lpstr>'Metrics Report Qly'!MasterCHK</vt:lpstr>
      <vt:lpstr>'Metrics Report SemiAnnually'!MasterCHK</vt:lpstr>
      <vt:lpstr>'Model Checks and Alerts'!MasterCHK</vt:lpstr>
      <vt:lpstr>'Results Table'!MasterCHK</vt:lpstr>
      <vt:lpstr>'Supply Chain finance'!MasterCHK</vt:lpstr>
      <vt:lpstr>Time!MasterCHK</vt:lpstr>
      <vt:lpstr>Unallocated!MasterCHK</vt:lpstr>
      <vt:lpstr>VAT!MasterCHK</vt:lpstr>
      <vt:lpstr>'Working Capital'!MasterCHK</vt:lpstr>
      <vt:lpstr>Model_period_end</vt:lpstr>
      <vt:lpstr>Model_period_end__Month_to_Quarter___period_end_flag</vt:lpstr>
      <vt:lpstr>Model_period_end__Month_to_SemiAnnual___period_end_flag</vt:lpstr>
      <vt:lpstr>Model_period_end__Month_to_Year___period_end_flag</vt:lpstr>
      <vt:lpstr>Model_period_end__Month_to_Year__financial_year____period_end_flag</vt:lpstr>
      <vt:lpstr>Model_period_start</vt:lpstr>
      <vt:lpstr>Net_Assets</vt:lpstr>
      <vt:lpstr>Net_Cashflow</vt:lpstr>
      <vt:lpstr>New_customer_orders</vt:lpstr>
      <vt:lpstr>New_share_capital_issued</vt:lpstr>
      <vt:lpstr>obxIssuesLog</vt:lpstr>
      <vt:lpstr>Operating_Cashflow</vt:lpstr>
      <vt:lpstr>Period_number</vt:lpstr>
      <vt:lpstr>Period_number__Month_to_Quarter___period_end_flag</vt:lpstr>
      <vt:lpstr>Period_number__Month_to_SemiAnnual___period_end_flag</vt:lpstr>
      <vt:lpstr>Period_number__Month_to_Year___period_end_flag</vt:lpstr>
      <vt:lpstr>Period_number__Month_to_Year__financial_year____period_end_flag</vt:lpstr>
      <vt:lpstr>Profit_before_tax</vt:lpstr>
      <vt:lpstr>Renewing_Customer_Orders</vt:lpstr>
      <vt:lpstr>ReportBarFormat</vt:lpstr>
      <vt:lpstr>Retained_Earnings</vt:lpstr>
      <vt:lpstr>Retained_Earnings.BEG</vt:lpstr>
      <vt:lpstr>Retained_Earnings_this_period</vt:lpstr>
      <vt:lpstr>scenario</vt:lpstr>
      <vt:lpstr>ScenarioPointer</vt:lpstr>
      <vt:lpstr>SensitivityInputs</vt:lpstr>
      <vt:lpstr>Share_Capital</vt:lpstr>
      <vt:lpstr>Share_Capital.BEG</vt:lpstr>
      <vt:lpstr>Shareholder_Equity</vt:lpstr>
      <vt:lpstr>STF_New_Customer_orders</vt:lpstr>
      <vt:lpstr>STF_Units_delivered</vt:lpstr>
      <vt:lpstr>STF_Units_ordered</vt:lpstr>
      <vt:lpstr>Supply_Chain_Finance_balance</vt:lpstr>
      <vt:lpstr>Supply_Chain_Finance_balance.BEG</vt:lpstr>
      <vt:lpstr>Supply_Chain_Finance_drawdown</vt:lpstr>
      <vt:lpstr>Supply_Chain_Finance_interest</vt:lpstr>
      <vt:lpstr>Supply_Chain_Finance_interest.NEG</vt:lpstr>
      <vt:lpstr>Supply_Chain_Finance_interest_paid</vt:lpstr>
      <vt:lpstr>Supply_Chain_Finance_interest_paid.NEG</vt:lpstr>
      <vt:lpstr>Supply_Chain_Finance_principal_repayment</vt:lpstr>
      <vt:lpstr>Supply_Chain_Finance_principal_repayment.NEG</vt:lpstr>
      <vt:lpstr>TimeRow</vt:lpstr>
      <vt:lpstr>TOCFirstLine</vt:lpstr>
      <vt:lpstr>TOCobxAsset_Finance</vt:lpstr>
      <vt:lpstr>TOCobxAssets</vt:lpstr>
      <vt:lpstr>TOCobxCorporation_tax</vt:lpstr>
      <vt:lpstr>TOCobxCorporation_tax.Corporation_tax_creditor</vt:lpstr>
      <vt:lpstr>TOCobxCorporation_tax.Tax_losses</vt:lpstr>
      <vt:lpstr>TOCobxCustomers</vt:lpstr>
      <vt:lpstr>TOCobxEquity</vt:lpstr>
      <vt:lpstr>TOCobxExpense</vt:lpstr>
      <vt:lpstr>TOCobxFinancials</vt:lpstr>
      <vt:lpstr>TOCobxIncome</vt:lpstr>
      <vt:lpstr>TOCobxInputs</vt:lpstr>
      <vt:lpstr>TOCobxInputs.Corporation_Tax</vt:lpstr>
      <vt:lpstr>TOCobxInputs.Customer_Orders</vt:lpstr>
      <vt:lpstr>TOCobxInputs.Debt</vt:lpstr>
      <vt:lpstr>TOCobxInputs.Debt.Asset_Finance</vt:lpstr>
      <vt:lpstr>TOCobxInputs.Debt.Invoice_Finance</vt:lpstr>
      <vt:lpstr>TOCobxInputs.Debt.Supply_Chain_Finance</vt:lpstr>
      <vt:lpstr>TOCobxInputs.Equity</vt:lpstr>
      <vt:lpstr>TOCobxInputs.Expense</vt:lpstr>
      <vt:lpstr>TOCobxInputs.Inventory</vt:lpstr>
      <vt:lpstr>TOCobxInputs.Model_Constants</vt:lpstr>
      <vt:lpstr>TOCobxInputs.Opening_Balances</vt:lpstr>
      <vt:lpstr>TOCobxInputs.Short_term_forecast</vt:lpstr>
      <vt:lpstr>TOCobxInputs.Supplier_orders</vt:lpstr>
      <vt:lpstr>TOCobxInputs.VAT</vt:lpstr>
      <vt:lpstr>TOCobxInventory</vt:lpstr>
      <vt:lpstr>TOCobxInvoice_finance</vt:lpstr>
      <vt:lpstr>TOCobxMetrics</vt:lpstr>
      <vt:lpstr>TOCobxModel_Checks_and_Alerts</vt:lpstr>
      <vt:lpstr>TOCobxModel_Checks_and_Alerts.Model_Checks</vt:lpstr>
      <vt:lpstr>TOCobxSupply_Chain_finance</vt:lpstr>
      <vt:lpstr>TOCobxTime</vt:lpstr>
      <vt:lpstr>TOCobxTime.Customer_Order_Growth_index</vt:lpstr>
      <vt:lpstr>TOCobxTime.Debts_flags</vt:lpstr>
      <vt:lpstr>TOCobxTime.Fixed_Operating_Cost_Growth_Rate_index</vt:lpstr>
      <vt:lpstr>TOCobxTime.Headers</vt:lpstr>
      <vt:lpstr>TOCobxTime.Model_timelines</vt:lpstr>
      <vt:lpstr>TOCobxTime.Use_short_term_forecast_flag</vt:lpstr>
      <vt:lpstr>TOCobxTime.VAT_return_this_period_flag</vt:lpstr>
      <vt:lpstr>TOCobxUnallocated</vt:lpstr>
      <vt:lpstr>TOCobxVAT</vt:lpstr>
      <vt:lpstr>TOCobxWorking_Capital</vt:lpstr>
      <vt:lpstr>TOCrepobxBalance_Sheet_base_1_Quarter</vt:lpstr>
      <vt:lpstr>TOCrepobxBalance_Sheet_base_2_SemiAnnual</vt:lpstr>
      <vt:lpstr>TOCrepobxBalance_Sheet_base_Month</vt:lpstr>
      <vt:lpstr>TOCrepobxBalance_Sheet_Year</vt:lpstr>
      <vt:lpstr>TOCrepobxCashflow_base_1_Quarter</vt:lpstr>
      <vt:lpstr>TOCrepobxCashflow_base_2_SemiAnnual</vt:lpstr>
      <vt:lpstr>TOCrepobxCashflow_base_Month</vt:lpstr>
      <vt:lpstr>TOCrepobxCashflow_Year</vt:lpstr>
      <vt:lpstr>TOCrepobxIncome_Statement_base_1_Quarter</vt:lpstr>
      <vt:lpstr>TOCrepobxIncome_Statement_base_2_SemiAnnual</vt:lpstr>
      <vt:lpstr>TOCrepobxIncome_Statement_base_Month</vt:lpstr>
      <vt:lpstr>TOCrepobxIncome_Statement_Year</vt:lpstr>
      <vt:lpstr>TOCrepobxInventory_Report_base_1_Quarter</vt:lpstr>
      <vt:lpstr>TOCrepobxInventory_Report_base_2_SemiAnnual</vt:lpstr>
      <vt:lpstr>TOCrepobxInventory_Report_base_Month</vt:lpstr>
      <vt:lpstr>TOCrepobxInventory_Report_Year</vt:lpstr>
      <vt:lpstr>TOCrepobxMetrics_Report_base_1_Quarter</vt:lpstr>
      <vt:lpstr>TOCrepobxMetrics_Report_base_2_SemiAnnual</vt:lpstr>
      <vt:lpstr>TOCrepobxMetrics_Report_base_Month</vt:lpstr>
      <vt:lpstr>TOCrepobxMetrics_Report_Year</vt:lpstr>
      <vt:lpstr>Total_Units_retired</vt:lpstr>
      <vt:lpstr>Total_Units_retired.BEG</vt:lpstr>
      <vt:lpstr>Totals</vt:lpstr>
      <vt:lpstr>Units</vt:lpstr>
      <vt:lpstr>Units_delivered</vt:lpstr>
      <vt:lpstr>Units_deployed</vt:lpstr>
      <vt:lpstr>Units_in_stock</vt:lpstr>
      <vt:lpstr>Units_in_stock.BEG</vt:lpstr>
      <vt:lpstr>Units_in_use</vt:lpstr>
      <vt:lpstr>Units_in_use.BEG</vt:lpstr>
      <vt:lpstr>Units_on_order</vt:lpstr>
      <vt:lpstr>Units_on_order.BEG</vt:lpstr>
      <vt:lpstr>Units_ordered</vt:lpstr>
      <vt:lpstr>Units_retired</vt:lpstr>
      <vt:lpstr>Variable_Operating_expense</vt:lpstr>
      <vt:lpstr>Variable_Operating_expense.NEG</vt:lpstr>
      <vt:lpstr>VAT_balance</vt:lpstr>
      <vt:lpstr>VAT_balance.BEG</vt:lpstr>
      <vt:lpstr>VAT_paid</vt:lpstr>
      <vt:lpstr>VAT_paid.NEG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Davidson</cp:lastModifiedBy>
  <dcterms:created xsi:type="dcterms:W3CDTF">2023-09-11T14:10:16Z</dcterms:created>
  <dcterms:modified xsi:type="dcterms:W3CDTF">2023-09-11T14:26:00Z</dcterms:modified>
</cp:coreProperties>
</file>